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cbacon\Desktop\Conflict Minerals\2023\"/>
    </mc:Choice>
  </mc:AlternateContent>
  <workbookProtection workbookAlgorithmName="SHA-512" workbookHashValue="lDrcKi3B2qEXR4C1s4aJS+bx4244DmmURoVh5lMhWEq8pNT55DjQKkey3B6BGIq2IO+MgsIaG/lTUImT3XuuFw==" workbookSaltValue="ReSnD0noXLiJQyyOBWKIDA==" workbookSpinCount="100000" lockStructure="1"/>
  <bookViews>
    <workbookView xWindow="0" yWindow="0" windowWidth="28800" windowHeight="1230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5" l="1"/>
  <c r="AB5" i="5"/>
  <c r="AB6" i="5"/>
  <c r="AB7" i="5"/>
  <c r="AB8" i="5"/>
  <c r="AB9" i="5"/>
  <c r="AB10" i="5"/>
  <c r="AB11" i="5"/>
  <c r="AB12" i="5"/>
  <c r="AB13" i="5"/>
  <c r="AB14" i="5"/>
  <c r="AB15" i="5"/>
  <c r="AB16" i="5"/>
  <c r="G61" i="6"/>
  <c r="B16" i="6"/>
  <c r="F24" i="6"/>
  <c r="F61" i="6"/>
  <c r="H61" i="6"/>
  <c r="C4" i="5"/>
  <c r="F64" i="6"/>
  <c r="D4" i="5"/>
  <c r="E4"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B20" i="6"/>
  <c r="F23" i="6"/>
  <c r="F60" i="6"/>
  <c r="H60" i="6"/>
  <c r="B4" i="6"/>
  <c r="G4" i="6"/>
  <c r="H4" i="6"/>
  <c r="B5" i="6"/>
  <c r="G5" i="6"/>
  <c r="H5" i="6"/>
  <c r="F6" i="6"/>
  <c r="H6" i="6"/>
  <c r="F59" i="6"/>
  <c r="H59" i="6"/>
  <c r="B7" i="6"/>
  <c r="G7" i="6"/>
  <c r="H7" i="6"/>
  <c r="B8" i="6"/>
  <c r="G8" i="6"/>
  <c r="H8" i="6"/>
  <c r="B9" i="6"/>
  <c r="G9" i="6"/>
  <c r="H9" i="6"/>
  <c r="B10" i="6"/>
  <c r="G10" i="6"/>
  <c r="H10" i="6"/>
  <c r="B11" i="6"/>
  <c r="G11" i="6"/>
  <c r="H11" i="6"/>
  <c r="B12" i="6"/>
  <c r="G12" i="6"/>
  <c r="H12" i="6"/>
  <c r="B13" i="6"/>
  <c r="G13" i="6"/>
  <c r="H13"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H50" i="6"/>
  <c r="F52" i="6"/>
  <c r="B52" i="6"/>
  <c r="G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V6" i="5"/>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P27" i="4"/>
  <c r="G53" i="6"/>
  <c r="B50" i="6"/>
  <c r="G50" i="6"/>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G21" i="6"/>
  <c r="B84" i="4"/>
  <c r="P35" i="4"/>
  <c r="P34" i="4"/>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G26" i="6"/>
  <c r="B18" i="6"/>
  <c r="F26" i="6"/>
  <c r="B25" i="6"/>
  <c r="G25" i="6"/>
  <c r="B24" i="6"/>
  <c r="G24"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V11" i="5"/>
  <c r="V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A29" i="6"/>
  <c r="R11" i="5"/>
  <c r="G21" i="5"/>
  <c r="V12" i="5"/>
  <c r="V10" i="5"/>
  <c r="V9" i="5"/>
  <c r="V15" i="5"/>
  <c r="V16" i="5"/>
  <c r="R8" i="5"/>
  <c r="V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T6" i="5"/>
  <c r="T7" i="5"/>
  <c r="S7" i="5"/>
  <c r="T5" i="5"/>
  <c r="S93" i="5"/>
  <c r="R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<sst xmlns="http://schemas.openxmlformats.org/spreadsheetml/2006/main" count="15197" uniqueCount="12834">
  <si>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</si>
  <si>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</si>
  <si>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</si>
  <si>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</si>
  <si>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</si>
  <si>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</si>
  <si>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</si>
  <si>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</si>
  <si>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</si>
  <si>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</si>
  <si>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</si>
  <si>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</si>
  <si>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</si>
  <si>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</si>
  <si>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</si>
  <si>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</si>
  <si>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</si>
  <si>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</si>
  <si>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</si>
  <si>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</si>
  <si>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</si>
  <si>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</si>
  <si>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</si>
  <si>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</si>
  <si>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</si>
  <si>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</si>
  <si>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</si>
  <si>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</si>
  <si>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</si>
  <si>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</si>
  <si>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</si>
  <si>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</si>
  <si>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</si>
  <si>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</si>
  <si>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</si>
  <si>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</si>
  <si>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</si>
  <si>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</si>
  <si>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</si>
  <si>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</si>
  <si>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</si>
  <si>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</si>
  <si>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</si>
  <si>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</si>
  <si>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</si>
  <si>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</si>
  <si>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</si>
  <si>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</si>
  <si>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</si>
  <si>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</si>
  <si>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</si>
  <si>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</si>
  <si>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</si>
  <si>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</si>
  <si>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</si>
  <si>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</si>
  <si>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</si>
  <si>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</si>
  <si>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</si>
  <si>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</si>
  <si>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</si>
  <si>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</si>
  <si>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</si>
  <si>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</si>
  <si>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</si>
  <si>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</si>
  <si>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</si>
  <si>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</si>
  <si>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</si>
  <si>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</si>
  <si>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</si>
  <si>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</si>
  <si>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</si>
  <si>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</si>
  <si>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</si>
  <si>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</si>
  <si>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</si>
  <si>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</si>
  <si>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</si>
  <si>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</si>
  <si>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</si>
  <si>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</si>
  <si>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</si>
  <si>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</si>
  <si>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</si>
  <si>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</si>
  <si>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</si>
  <si>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</si>
  <si>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</si>
  <si>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</si>
  <si>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</si>
  <si>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</si>
  <si>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</si>
  <si>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</si>
  <si>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</si>
  <si>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</si>
  <si>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</si>
  <si>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</si>
  <si>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</si>
  <si>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</si>
  <si>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</si>
  <si>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</si>
  <si>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</si>
  <si>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</si>
  <si>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</si>
  <si>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</si>
  <si>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</si>
  <si>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</si>
  <si>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</si>
  <si>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</si>
  <si>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</si>
  <si>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</si>
  <si>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</si>
  <si>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</si>
  <si>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</si>
  <si>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</si>
  <si>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</si>
  <si>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</si>
  <si>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</si>
  <si>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</si>
  <si>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</si>
  <si>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</si>
  <si>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</si>
  <si>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</si>
  <si>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</si>
  <si>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</si>
  <si>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</si>
  <si>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</si>
  <si>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</si>
  <si>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</si>
  <si>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</si>
  <si>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</si>
  <si>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</si>
  <si>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</si>
  <si>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</si>
  <si>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</si>
  <si>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</si>
  <si>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</si>
  <si>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</si>
  <si>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</si>
  <si>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</si>
  <si>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</si>
  <si>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</si>
  <si>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</si>
  <si>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</si>
  <si>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</si>
  <si>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</si>
  <si>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</si>
  <si>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</si>
  <si>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</si>
  <si>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</si>
  <si>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</si>
  <si>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</si>
  <si>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</si>
  <si>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</si>
  <si>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</si>
  <si>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</si>
  <si>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</si>
  <si>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</si>
  <si>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</si>
  <si>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</si>
  <si>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</si>
  <si>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</si>
  <si>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</si>
  <si>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</si>
  <si>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</si>
  <si>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</si>
  <si>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</si>
  <si>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</si>
  <si>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</si>
  <si>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</si>
  <si>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</si>
  <si>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</si>
  <si>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</si>
  <si>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</si>
  <si>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</si>
  <si>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</si>
  <si>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</si>
  <si>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</si>
  <si>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</si>
  <si>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</si>
  <si>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</si>
  <si>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</si>
  <si>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</si>
  <si>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</si>
  <si>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</si>
  <si>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</si>
  <si>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</si>
  <si>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</si>
  <si>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</si>
  <si>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</si>
  <si>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</si>
  <si>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</si>
  <si>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</si>
  <si>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</si>
  <si>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</si>
  <si>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</si>
  <si>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</si>
  <si>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</si>
  <si>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</si>
  <si>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</si>
  <si>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</si>
  <si>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</si>
  <si>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</si>
  <si>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</si>
  <si>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</si>
  <si>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</si>
  <si>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</si>
  <si>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</si>
  <si>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</si>
  <si>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</si>
  <si>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</si>
  <si>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</si>
  <si>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</si>
  <si>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</si>
  <si>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</si>
  <si>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</si>
  <si>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</si>
  <si>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</si>
  <si>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</si>
  <si>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</si>
  <si>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</si>
  <si>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</si>
  <si>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</si>
  <si>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</si>
  <si>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</si>
  <si>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</si>
  <si>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</si>
  <si>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</si>
  <si>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</si>
  <si>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</si>
  <si>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</si>
  <si>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</si>
  <si>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</si>
  <si>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</si>
  <si>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</si>
  <si>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</si>
  <si>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</si>
  <si>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</si>
  <si>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</si>
  <si>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</si>
  <si>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</si>
  <si>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</si>
  <si>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</si>
  <si>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</si>
  <si>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</si>
  <si>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</si>
  <si>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</si>
  <si>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</si>
  <si>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</si>
  <si>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</si>
  <si>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</si>
  <si>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</si>
  <si>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</si>
  <si>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</si>
  <si>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</si>
  <si>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</si>
  <si>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</si>
  <si>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</si>
  <si>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</si>
  <si>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</si>
  <si>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</si>
  <si>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</si>
  <si>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</si>
  <si>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</si>
  <si>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</si>
  <si>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</si>
  <si>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</si>
  <si>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</si>
  <si>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</si>
  <si>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</si>
  <si>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</si>
  <si>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</si>
  <si>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</si>
  <si>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</si>
  <si>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</si>
  <si>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</si>
  <si>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</si>
  <si>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</si>
  <si>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</si>
  <si>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</si>
  <si>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</si>
  <si>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</si>
  <si>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</si>
  <si>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</si>
  <si>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</si>
  <si>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</si>
  <si>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</si>
  <si>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</si>
  <si>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</si>
  <si>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</si>
  <si>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</si>
  <si>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</si>
  <si>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</si>
  <si>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</si>
  <si>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</si>
  <si>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</si>
  <si>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</si>
  <si>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</si>
  <si>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</si>
  <si>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</si>
  <si>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</si>
  <si>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</si>
  <si>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</si>
  <si>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</si>
  <si>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</si>
  <si>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</si>
  <si>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</si>
  <si>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</si>
  <si>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</si>
  <si>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</si>
  <si>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</si>
  <si>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</si>
  <si>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</si>
  <si>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</si>
  <si>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</si>
  <si>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</si>
  <si>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</si>
  <si>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</si>
  <si>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</si>
  <si>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</si>
  <si>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</si>
  <si>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</si>
  <si>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</si>
  <si>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</si>
  <si>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</si>
  <si>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</si>
  <si>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</si>
  <si>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</si>
  <si>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</si>
  <si>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</si>
  <si>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</si>
  <si>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</si>
  <si>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</si>
  <si>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</si>
  <si>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</si>
  <si>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</si>
  <si>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</si>
  <si>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</si>
  <si>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</si>
  <si>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</si>
  <si>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</si>
  <si>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</si>
  <si>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</si>
  <si>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</si>
  <si>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</si>
  <si>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</si>
  <si>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</si>
  <si>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</si>
  <si>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</si>
  <si>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</si>
  <si>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</si>
  <si>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</si>
  <si>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</si>
  <si>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</si>
  <si>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</si>
  <si>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</si>
  <si>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</si>
  <si>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</si>
  <si>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</si>
  <si>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</si>
  <si>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</si>
  <si>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</si>
  <si>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</si>
  <si>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</si>
  <si>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</si>
  <si>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</si>
  <si>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</si>
  <si>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</si>
  <si>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</si>
  <si>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</si>
  <si>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</si>
  <si>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</si>
  <si>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</si>
  <si>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</si>
  <si>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</si>
  <si>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</si>
  <si>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</si>
  <si>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</si>
  <si>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</si>
  <si>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</si>
  <si>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</si>
  <si>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</si>
  <si>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</si>
  <si>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</si>
  <si>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</si>
  <si>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</si>
  <si>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</si>
  <si>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</si>
  <si>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</si>
  <si>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</si>
  <si>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</si>
  <si>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</si>
  <si>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</si>
  <si>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</si>
  <si>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</si>
  <si>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</si>
  <si>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</si>
  <si>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</si>
  <si>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</si>
  <si>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</si>
  <si>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</si>
  <si>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</si>
  <si>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</si>
  <si>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</si>
  <si>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</si>
  <si>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</si>
  <si>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</si>
  <si>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</si>
  <si>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</si>
  <si>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</si>
  <si>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</si>
  <si>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</si>
  <si>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</si>
  <si>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</si>
  <si>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</si>
  <si>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</si>
  <si>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</si>
  <si>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</si>
  <si>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</si>
  <si>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</si>
  <si>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</si>
  <si>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</si>
  <si>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</si>
  <si>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</si>
  <si>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</si>
  <si>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</si>
  <si>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</si>
  <si>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</si>
  <si>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</si>
  <si>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</si>
  <si>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</si>
  <si>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</si>
  <si>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</si>
  <si>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</si>
  <si>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</si>
  <si>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</si>
  <si>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</si>
  <si>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</si>
  <si>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</si>
  <si>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</si>
  <si>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</si>
  <si>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</si>
  <si>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</si>
  <si>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</si>
  <si>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</si>
  <si>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</si>
  <si>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</si>
  <si>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</si>
  <si>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</si>
  <si>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</si>
  <si>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</si>
  <si>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</si>
  <si>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</si>
  <si>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</si>
  <si>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</si>
  <si>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</si>
  <si>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</si>
  <si>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</si>
  <si>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</si>
  <si>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</si>
  <si>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</si>
  <si>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</si>
  <si>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</si>
  <si>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</si>
  <si>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</si>
  <si>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</si>
  <si>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</si>
  <si>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</si>
  <si>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</si>
  <si>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</si>
  <si>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</si>
  <si>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</si>
  <si>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</si>
  <si>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</si>
  <si>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</si>
  <si>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</si>
  <si>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</si>
  <si>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</si>
  <si>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</si>
  <si>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</si>
  <si>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</si>
  <si>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</si>
  <si>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</si>
  <si>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</si>
  <si>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</si>
  <si>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</si>
  <si>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</si>
  <si>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</si>
  <si>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</si>
  <si>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</si>
  <si>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</si>
  <si>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</si>
  <si>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</si>
  <si>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</si>
  <si>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</si>
  <si>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</si>
  <si>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</si>
  <si>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</si>
  <si>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</si>
  <si>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</si>
  <si>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</si>
  <si>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</si>
  <si>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</si>
  <si>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</si>
  <si>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</si>
  <si>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</si>
  <si>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</si>
  <si>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</si>
  <si>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</si>
  <si>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</si>
  <si>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</si>
  <si>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</si>
  <si>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</si>
  <si>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</si>
  <si>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</si>
  <si>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</si>
  <si>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</si>
  <si>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</si>
  <si>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</si>
  <si>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</si>
  <si>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</si>
  <si>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</si>
  <si>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</si>
  <si>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</si>
  <si>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</si>
  <si>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</si>
  <si>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</si>
  <si>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</si>
  <si>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</si>
  <si>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</si>
  <si>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</si>
  <si>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</si>
  <si>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</si>
  <si>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</si>
  <si>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</si>
  <si>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</si>
  <si>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</si>
  <si>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</si>
  <si>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</si>
  <si>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</si>
  <si>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</si>
  <si>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</si>
  <si>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</si>
  <si>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</si>
  <si>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</si>
  <si>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</si>
  <si>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</si>
  <si>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</si>
  <si>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</si>
  <si>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</si>
  <si>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</si>
  <si>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</si>
  <si>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</si>
  <si>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</si>
  <si>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</si>
  <si>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</si>
  <si>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</si>
  <si>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</si>
  <si>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</si>
  <si>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</si>
  <si>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</si>
  <si>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</si>
  <si>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</si>
  <si>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</si>
  <si>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</si>
  <si>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</si>
  <si>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</si>
  <si>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</si>
  <si>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</si>
  <si>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</si>
  <si>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</si>
  <si>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</si>
  <si>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</si>
  <si>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</si>
  <si>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</si>
  <si>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</si>
  <si>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</si>
  <si>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</si>
  <si>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</si>
  <si>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</si>
  <si>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</si>
  <si>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</si>
  <si>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</si>
  <si>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</si>
  <si>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</si>
  <si>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</si>
  <si>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</si>
  <si>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</si>
  <si>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</si>
  <si>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</si>
  <si>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</si>
  <si>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</si>
  <si>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</si>
  <si>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</si>
  <si>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</si>
  <si>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</si>
  <si>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</si>
  <si>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</si>
  <si>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</si>
  <si>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</si>
  <si>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</si>
  <si>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</si>
  <si>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</si>
  <si>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</si>
  <si>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</si>
  <si>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</si>
  <si>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</si>
  <si>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</si>
  <si>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</si>
  <si>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</si>
  <si>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</si>
  <si>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</si>
  <si>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</si>
  <si>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</si>
  <si>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</si>
  <si>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</si>
  <si>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</si>
  <si>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</si>
  <si>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</si>
  <si>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</si>
  <si>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</si>
  <si>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</si>
  <si>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</si>
  <si>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</si>
  <si>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</si>
  <si>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</si>
  <si>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</si>
  <si>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</si>
  <si>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</si>
  <si>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</si>
  <si>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</si>
  <si>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</si>
  <si>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</si>
  <si>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</si>
  <si>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</si>
  <si>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</si>
  <si>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</si>
  <si>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</si>
  <si>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</si>
  <si>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</si>
  <si>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</si>
  <si>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</si>
  <si>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</si>
  <si>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</si>
  <si>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</si>
  <si>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</si>
  <si>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</si>
  <si>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</si>
  <si>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</si>
  <si>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</si>
  <si>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</si>
  <si>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</si>
  <si>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</si>
  <si>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</si>
  <si>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</si>
  <si>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</si>
  <si>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</si>
  <si>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</si>
  <si>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</si>
  <si>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</si>
  <si>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</si>
  <si>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</si>
  <si>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</si>
  <si>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</si>
  <si>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</si>
  <si>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</si>
  <si>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</si>
  <si>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</si>
  <si>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</si>
  <si>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</si>
  <si>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</si>
  <si>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</si>
  <si>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</si>
  <si>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</si>
  <si>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</si>
  <si>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</si>
  <si>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</si>
  <si>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</si>
  <si>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</si>
  <si>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</si>
  <si>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</si>
  <si>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</si>
  <si>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</si>
  <si>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</si>
  <si>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</si>
  <si>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</si>
  <si>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</si>
  <si>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</si>
  <si>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</si>
  <si>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</si>
  <si>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</si>
  <si>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</si>
  <si>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</si>
  <si>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</si>
  <si>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</si>
  <si>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</si>
  <si>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</si>
  <si>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</si>
  <si>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</si>
  <si>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</si>
  <si>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</si>
  <si>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</si>
  <si>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</si>
  <si>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</si>
  <si>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</si>
  <si>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</si>
  <si>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</si>
  <si>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</si>
  <si>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</si>
  <si>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</si>
  <si>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</si>
  <si>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</si>
  <si>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</si>
  <si>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</si>
  <si>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</si>
  <si>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</si>
  <si>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</si>
  <si>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</si>
  <si>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</si>
  <si>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</si>
  <si>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</si>
  <si>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</si>
  <si>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</si>
  <si>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</si>
  <si>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</si>
  <si>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</si>
  <si>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</si>
  <si>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</si>
  <si>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</si>
  <si>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</si>
  <si>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</si>
  <si>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</si>
  <si>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</si>
  <si>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</si>
  <si>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</si>
  <si>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</si>
  <si>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</si>
  <si>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</si>
  <si>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</si>
  <si>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</si>
  <si>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</si>
  <si>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</si>
  <si>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</si>
  <si>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</si>
  <si>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</si>
  <si>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</si>
  <si>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</si>
  <si>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</si>
  <si>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</si>
  <si>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</si>
  <si>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</si>
  <si>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</si>
  <si>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</si>
  <si>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</si>
  <si>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</si>
  <si>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</si>
  <si>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</si>
  <si>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</si>
  <si>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</si>
  <si>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</si>
  <si>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</si>
  <si>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</si>
  <si>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</si>
  <si>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</si>
  <si>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</si>
  <si>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</si>
  <si>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</si>
  <si>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</si>
  <si>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</si>
  <si>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</si>
  <si>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</si>
  <si>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</si>
  <si>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</si>
  <si>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</si>
  <si>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</si>
  <si>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</si>
  <si>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</si>
  <si>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</si>
  <si>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</si>
  <si>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</si>
  <si>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</si>
  <si>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</si>
  <si>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</si>
  <si>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</si>
  <si>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</si>
  <si>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</si>
  <si>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</si>
  <si>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</si>
  <si>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</si>
  <si>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</si>
  <si>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</si>
  <si>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</si>
  <si>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</si>
  <si>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</si>
  <si>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</si>
  <si>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</si>
  <si>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</si>
  <si>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</si>
  <si>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</si>
  <si>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</si>
  <si>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</si>
  <si>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</si>
  <si>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</si>
  <si>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</si>
  <si>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</si>
  <si>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</si>
  <si>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</si>
  <si>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</si>
  <si>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</si>
  <si>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</si>
  <si>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</si>
  <si>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</si>
  <si>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</si>
  <si>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</si>
  <si>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</si>
  <si>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</si>
  <si>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</si>
  <si>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</si>
  <si>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</si>
  <si>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</si>
  <si>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</si>
  <si>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</si>
  <si>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</si>
  <si>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</si>
  <si>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</si>
  <si>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</si>
  <si>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</si>
  <si>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</si>
  <si>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</si>
  <si>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</si>
  <si>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</si>
  <si>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</si>
  <si>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</si>
  <si>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</si>
  <si>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</si>
  <si>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</si>
  <si>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</si>
  <si>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</si>
  <si>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</si>
  <si>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</si>
  <si>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</si>
  <si>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</si>
  <si>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</si>
  <si>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</si>
  <si>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</si>
  <si>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</si>
  <si>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</si>
  <si>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</si>
  <si>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</si>
  <si>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</si>
  <si>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</si>
  <si>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</si>
  <si>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</si>
  <si>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</si>
  <si>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</si>
  <si>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</si>
  <si>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</si>
  <si>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</si>
  <si>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</si>
  <si>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</si>
  <si>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</si>
  <si>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</si>
  <si>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</si>
  <si>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</si>
  <si>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</si>
  <si>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</si>
  <si>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</si>
  <si>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</si>
  <si>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</si>
  <si>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</si>
  <si>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</si>
  <si>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</si>
  <si>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</si>
  <si>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</si>
  <si>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</si>
  <si>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</si>
  <si>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</si>
  <si>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</si>
  <si>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</si>
  <si>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</si>
  <si>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</si>
  <si>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</si>
  <si>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</si>
  <si>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</si>
  <si>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</si>
  <si>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</si>
  <si>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</si>
  <si>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</si>
  <si>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</si>
  <si>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</si>
  <si>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</si>
  <si>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</si>
  <si>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</si>
  <si>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</si>
  <si>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</si>
  <si>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</si>
  <si>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</si>
  <si>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</si>
  <si>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</si>
  <si>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</si>
  <si>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</si>
  <si>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</si>
  <si>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</si>
  <si>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</si>
  <si>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</si>
  <si>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</si>
  <si>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</si>
  <si>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</si>
  <si>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</si>
  <si>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</si>
  <si>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</si>
  <si>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</si>
  <si>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</si>
  <si>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</si>
  <si>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</si>
  <si>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</si>
  <si>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</si>
  <si>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</si>
  <si>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</si>
  <si>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</si>
  <si>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</si>
  <si>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</si>
  <si>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</si>
  <si>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</si>
  <si>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</si>
  <si>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</si>
  <si>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</si>
  <si>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</si>
  <si>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</si>
  <si>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</si>
  <si>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</si>
  <si>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</si>
  <si>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</si>
  <si>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</si>
  <si>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</si>
  <si>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</si>
  <si>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</si>
  <si>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</si>
  <si>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</si>
  <si>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</si>
  <si>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</si>
  <si>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</si>
  <si>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</si>
  <si>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</si>
  <si>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</si>
  <si>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</si>
  <si>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</si>
  <si>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</si>
  <si>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</si>
  <si>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</si>
  <si>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</si>
  <si>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</si>
  <si>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</si>
  <si>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</si>
  <si>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</si>
  <si>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</si>
  <si>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</si>
  <si>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</si>
  <si>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</si>
  <si>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</si>
  <si>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</si>
  <si>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</si>
  <si>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</si>
  <si>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</si>
  <si>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</si>
  <si>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</si>
  <si>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</si>
  <si>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</si>
  <si>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</si>
  <si>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</si>
  <si>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</si>
  <si>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</si>
  <si>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</si>
  <si>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</si>
  <si>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</si>
  <si>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</si>
  <si>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</si>
  <si>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</si>
  <si>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</si>
  <si>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</si>
  <si>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</si>
  <si>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</si>
  <si>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</si>
  <si>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</si>
  <si>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</si>
  <si>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</si>
  <si>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</si>
  <si>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</si>
  <si>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</si>
  <si>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</si>
  <si>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</si>
  <si>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</si>
  <si>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</si>
  <si>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</si>
  <si>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</si>
  <si>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</si>
  <si>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</si>
  <si>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</si>
  <si>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</si>
  <si>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</si>
  <si>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</si>
  <si>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</si>
  <si>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</si>
  <si>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</si>
  <si>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</si>
  <si>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</si>
  <si>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</si>
  <si>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</si>
  <si>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</si>
  <si>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</si>
  <si>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</si>
  <si>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</si>
  <si>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</si>
  <si>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</si>
  <si>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</si>
  <si>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</si>
  <si>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</si>
  <si>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</si>
  <si>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</si>
  <si>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</si>
  <si>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</si>
  <si>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</si>
  <si>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</si>
  <si>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</si>
  <si>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</si>
  <si>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</si>
  <si>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</si>
  <si>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</si>
  <si>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</si>
  <si>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</si>
  <si>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</si>
  <si>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</si>
  <si>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</si>
  <si>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</si>
  <si>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</si>
  <si>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</si>
  <si>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</si>
  <si>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</si>
  <si>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</si>
  <si>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</si>
  <si>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</si>
  <si>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</si>
  <si>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</si>
  <si>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</si>
  <si>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</si>
  <si>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</si>
  <si>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</si>
  <si>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</si>
  <si>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</si>
  <si>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</si>
  <si>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</si>
  <si>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</si>
  <si>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</si>
  <si>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</si>
  <si>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</si>
  <si>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</si>
  <si>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</si>
  <si>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</si>
  <si>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</si>
  <si>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</si>
  <si>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</si>
  <si>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</si>
  <si>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</si>
  <si>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</si>
  <si>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</si>
  <si>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</si>
  <si>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</si>
  <si>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</si>
  <si>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</si>
  <si>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</si>
  <si>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</si>
  <si>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</si>
  <si>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</si>
  <si>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</si>
  <si>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</si>
  <si>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</si>
  <si>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</si>
  <si>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</si>
  <si>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</si>
  <si>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</si>
  <si>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</si>
  <si>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</si>
  <si>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</si>
  <si>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</si>
  <si>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</si>
  <si>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</si>
  <si>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</si>
  <si>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</si>
  <si>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</si>
  <si>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</si>
  <si>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</si>
  <si>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</si>
  <si>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</si>
  <si>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</si>
  <si>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</si>
  <si>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</si>
  <si>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</si>
  <si>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</si>
  <si>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</si>
  <si>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</si>
  <si>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</si>
  <si>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</si>
  <si>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</si>
  <si>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</si>
  <si>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</si>
  <si>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</si>
  <si>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</si>
  <si>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</si>
  <si>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</si>
  <si>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</si>
  <si>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</si>
  <si>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</si>
  <si>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</si>
  <si>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</si>
  <si>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</si>
  <si>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</si>
  <si>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</si>
  <si>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</si>
  <si>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</si>
  <si>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</si>
  <si>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</si>
  <si>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</si>
  <si>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</si>
  <si>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</si>
  <si>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</si>
  <si>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</si>
  <si>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</si>
  <si>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</si>
  <si>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</si>
  <si>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</si>
  <si>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</si>
  <si>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</si>
  <si>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</si>
  <si>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</si>
  <si>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</si>
  <si>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</si>
  <si>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</si>
  <si>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</si>
  <si>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</si>
  <si>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</si>
  <si>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</si>
  <si>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</si>
  <si>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</si>
  <si>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</si>
  <si>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</si>
  <si>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</si>
  <si>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</si>
  <si>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</si>
  <si>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</si>
  <si>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</si>
  <si>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</si>
  <si>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</si>
  <si>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</si>
  <si>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</si>
  <si>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</si>
  <si>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</si>
  <si>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</si>
  <si>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</si>
  <si>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</si>
  <si>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</si>
  <si>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</si>
  <si>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</si>
  <si>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</si>
  <si>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</si>
  <si>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</si>
  <si>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</si>
  <si>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</si>
  <si>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</si>
  <si>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</si>
  <si>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</si>
  <si>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</si>
  <si>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</si>
  <si>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</si>
  <si>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</si>
  <si>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</si>
  <si>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</si>
  <si>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</si>
  <si>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</si>
  <si>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</si>
  <si>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</si>
  <si>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</si>
  <si>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</si>
  <si>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</si>
  <si>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</si>
  <si>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</si>
  <si>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</si>
  <si>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</si>
  <si>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</si>
  <si>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</si>
  <si>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</si>
  <si>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</si>
  <si>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</si>
  <si>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</si>
  <si>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</si>
  <si>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</si>
  <si>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</si>
  <si>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</si>
  <si>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</si>
  <si>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</si>
  <si>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</si>
  <si>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</si>
  <si>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</si>
  <si>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</si>
  <si>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</si>
  <si>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</si>
  <si>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</si>
  <si>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</si>
  <si>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</si>
  <si>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</si>
  <si>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</si>
  <si>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</si>
  <si>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</si>
  <si>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</si>
  <si>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</si>
  <si>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</si>
  <si>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</si>
  <si>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</si>
  <si>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</si>
  <si>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</si>
  <si>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</si>
  <si>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</si>
  <si>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</si>
  <si>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</si>
  <si>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</si>
  <si>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</si>
  <si>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</si>
  <si>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</si>
  <si>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</si>
  <si>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</si>
  <si>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</si>
  <si>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</si>
  <si>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</si>
  <si>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</si>
  <si>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</si>
  <si>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</si>
  <si>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</si>
  <si>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</si>
  <si>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</si>
  <si>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</si>
  <si>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</si>
  <si>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</si>
  <si>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</si>
  <si>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</si>
  <si>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</si>
  <si>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</si>
  <si>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</si>
  <si>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</si>
  <si>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</si>
  <si>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</si>
  <si>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</si>
  <si>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</si>
  <si>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</si>
  <si>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</si>
  <si>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</si>
  <si>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</si>
  <si>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</si>
  <si>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</si>
  <si>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</si>
  <si>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</si>
  <si>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</si>
  <si>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</si>
  <si>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</si>
  <si>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</si>
  <si>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</si>
  <si>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</si>
  <si>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</si>
  <si>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</si>
  <si>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</si>
  <si>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</si>
  <si>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</si>
  <si>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</si>
  <si>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</si>
  <si>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</si>
  <si>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</si>
  <si>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</si>
  <si>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</si>
  <si>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</si>
  <si>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</si>
  <si>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</si>
  <si>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</si>
  <si>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</si>
  <si>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</si>
  <si>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</si>
  <si>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</si>
  <si>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</si>
  <si>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</si>
  <si>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</si>
  <si>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</si>
  <si>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</si>
  <si>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</si>
  <si>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</si>
  <si>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</si>
  <si>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</si>
  <si>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</si>
  <si>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</si>
  <si>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</si>
  <si>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</si>
  <si>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</si>
  <si>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</si>
  <si>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</si>
  <si>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</si>
  <si>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</si>
  <si>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</si>
  <si>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</si>
  <si>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</si>
  <si>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</si>
  <si>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</si>
  <si>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</si>
  <si>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</si>
  <si>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</si>
  <si>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</si>
  <si>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</si>
  <si>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</si>
  <si>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</si>
  <si>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</si>
  <si>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</si>
  <si>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</si>
  <si>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</si>
  <si>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</si>
  <si>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</si>
  <si>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</si>
  <si>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</si>
  <si>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</si>
  <si>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</si>
  <si>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</si>
  <si>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</si>
  <si>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</si>
  <si>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</si>
  <si>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</si>
  <si>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</si>
  <si>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</si>
  <si>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</si>
  <si>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</si>
  <si>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</si>
  <si>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</si>
  <si>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</si>
  <si>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</si>
  <si>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</si>
  <si>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</si>
  <si>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</si>
  <si>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</si>
  <si>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</si>
  <si>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</si>
  <si>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</si>
  <si>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</si>
  <si>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</si>
  <si>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</si>
  <si>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</si>
  <si>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</si>
  <si>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</si>
  <si>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</si>
  <si>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</si>
  <si>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</si>
  <si>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</si>
  <si>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</si>
  <si>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</si>
  <si>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</si>
  <si>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</si>
  <si>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</si>
  <si>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</si>
  <si>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</si>
  <si>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</si>
  <si>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</si>
  <si>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</si>
  <si>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</si>
  <si>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</si>
  <si>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</si>
  <si>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</si>
  <si>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</si>
  <si>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</si>
  <si>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</si>
  <si>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</si>
  <si>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</si>
  <si>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</si>
  <si>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</si>
  <si>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</si>
  <si>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</si>
  <si>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</si>
  <si>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</si>
  <si>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</si>
  <si>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</si>
  <si>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</si>
  <si>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</si>
  <si>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</si>
  <si>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</si>
  <si>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</si>
  <si>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</si>
  <si>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</si>
  <si>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</si>
  <si>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</si>
  <si>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</si>
  <si>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</si>
  <si>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</si>
  <si>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</si>
  <si>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</si>
  <si>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</si>
  <si>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</si>
  <si>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</si>
  <si>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</si>
  <si>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</si>
  <si>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</si>
  <si>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</si>
  <si>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</si>
  <si>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</si>
  <si>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</si>
  <si>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</si>
  <si>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</si>
  <si>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</si>
  <si>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</si>
  <si>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</si>
  <si>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</si>
  <si>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</si>
  <si>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</si>
  <si>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</si>
  <si>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</si>
  <si>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</si>
  <si>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</si>
  <si>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</si>
  <si>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</si>
  <si>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</si>
  <si>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</si>
  <si>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</si>
  <si>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</si>
  <si>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</si>
  <si>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</si>
  <si>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</si>
  <si>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</si>
  <si>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</si>
  <si>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</si>
  <si>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</si>
  <si>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</si>
  <si>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</si>
  <si>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</si>
  <si>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</si>
  <si>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</si>
  <si>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</si>
  <si>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</si>
  <si>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</si>
  <si>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</si>
  <si>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</si>
  <si>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</si>
  <si>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</si>
  <si>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</si>
  <si>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</si>
  <si>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</si>
  <si>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</si>
  <si>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</si>
  <si>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</si>
  <si>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</si>
  <si>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</si>
  <si>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</si>
  <si>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</si>
  <si>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</si>
  <si>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</si>
  <si>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</si>
  <si>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</si>
  <si>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</si>
  <si>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</si>
  <si>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</si>
  <si>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</si>
  <si>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</si>
  <si>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</si>
  <si>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</si>
  <si>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</si>
  <si>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</si>
  <si>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</si>
  <si>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</si>
  <si>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</si>
  <si>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</si>
  <si>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</si>
  <si>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</si>
  <si>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</si>
  <si>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</si>
  <si>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</si>
  <si>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</si>
  <si>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</si>
  <si>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</si>
  <si>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</si>
  <si>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</si>
  <si>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</si>
  <si>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</si>
  <si>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</si>
  <si>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</si>
  <si>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</si>
  <si>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</si>
  <si>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</si>
  <si>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</si>
  <si>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</si>
  <si>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</si>
  <si>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</si>
  <si>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</si>
  <si>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</si>
  <si>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</si>
  <si>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</si>
  <si>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</si>
  <si>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</si>
  <si>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</si>
  <si>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</si>
  <si>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</si>
  <si>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</si>
  <si>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</si>
  <si>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</si>
  <si>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</si>
  <si>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</si>
  <si>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</si>
  <si>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</si>
  <si>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</si>
  <si>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</si>
  <si>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</si>
  <si>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</si>
  <si>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</si>
  <si>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</si>
  <si>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</si>
  <si>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</si>
  <si>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</si>
  <si>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</si>
  <si>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</si>
  <si>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</si>
  <si>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</si>
  <si>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</si>
  <si>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</si>
  <si>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</si>
  <si>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</si>
  <si>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</si>
  <si>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</si>
  <si>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</si>
  <si>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</si>
  <si>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</si>
  <si>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</si>
  <si>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</si>
  <si>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</si>
  <si>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</si>
  <si>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</si>
  <si>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</si>
  <si>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</si>
  <si>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</si>
  <si>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</si>
  <si>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</si>
  <si>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</si>
  <si>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</si>
  <si>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</si>
  <si>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</si>
  <si>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</si>
  <si>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</si>
  <si>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</si>
  <si>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</si>
  <si>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</si>
  <si>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</si>
  <si>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</si>
  <si>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</si>
  <si>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</si>
  <si>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</si>
  <si>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</si>
  <si>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</si>
  <si>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</si>
  <si>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</si>
  <si>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</si>
  <si>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</si>
  <si>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</si>
  <si>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</si>
  <si>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</si>
  <si>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</si>
  <si>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</si>
  <si>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</si>
  <si>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</si>
  <si>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</si>
  <si>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</si>
  <si>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</si>
  <si>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</si>
  <si>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</si>
  <si>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</si>
  <si>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</si>
  <si>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</si>
  <si>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</si>
  <si>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</si>
  <si>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</si>
  <si>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</si>
  <si>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</si>
  <si>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</si>
  <si>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</si>
  <si>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</si>
  <si>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</si>
  <si>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</si>
  <si>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</si>
  <si>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</si>
  <si>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</si>
  <si>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</si>
  <si>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</si>
  <si>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</si>
  <si>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</si>
  <si>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</si>
  <si>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</si>
  <si>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</si>
  <si>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</si>
  <si>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</si>
  <si>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</si>
  <si>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</si>
  <si>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</si>
  <si>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</si>
  <si>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</si>
  <si>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</si>
  <si>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</si>
  <si>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</si>
  <si>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</si>
  <si>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</si>
  <si>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</si>
  <si>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</si>
  <si>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</si>
  <si>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</si>
  <si>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</si>
  <si>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</si>
  <si>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</si>
  <si>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</si>
  <si>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</si>
  <si>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</si>
  <si>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</si>
  <si>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</si>
  <si>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</si>
  <si>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</si>
  <si>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</si>
  <si>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</si>
  <si>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</si>
  <si>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</si>
  <si>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</si>
  <si>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</si>
  <si>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</si>
  <si>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</si>
  <si>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</si>
  <si>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</si>
  <si>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</si>
  <si>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</si>
  <si>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</si>
  <si>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</si>
  <si>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</si>
  <si>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</si>
  <si>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</si>
  <si>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</si>
  <si>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</si>
  <si>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</si>
  <si>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</si>
  <si>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</si>
  <si>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</si>
  <si>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</si>
  <si>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</si>
  <si>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</si>
  <si>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</si>
  <si>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</si>
  <si>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</si>
  <si>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</si>
  <si>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</si>
  <si>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</si>
  <si>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</si>
  <si>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</si>
  <si>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</si>
  <si>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</si>
  <si>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</si>
  <si>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</si>
  <si>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</si>
  <si>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</si>
  <si>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</si>
  <si>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</si>
  <si>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</si>
  <si>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</si>
  <si>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</si>
  <si>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</si>
  <si>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</si>
  <si>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</si>
  <si>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</si>
  <si>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</si>
  <si>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</si>
  <si>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</si>
  <si>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</si>
  <si>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</si>
  <si>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</si>
  <si>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</si>
  <si>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</si>
  <si>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</si>
  <si>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</si>
  <si>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</si>
  <si>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</si>
  <si>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</si>
  <si>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</si>
  <si>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</si>
  <si>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</si>
  <si>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</si>
  <si>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</si>
  <si>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</si>
  <si>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</si>
  <si>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</si>
  <si>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</si>
  <si>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</si>
  <si>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</si>
  <si>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</si>
  <si>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</si>
  <si>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</si>
  <si>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</si>
  <si>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</si>
  <si>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</si>
  <si>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</si>
  <si>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</si>
  <si>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</si>
  <si>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</si>
  <si>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</si>
  <si>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</si>
  <si>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</si>
  <si>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</si>
  <si>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</si>
  <si>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</si>
  <si>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</si>
  <si>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</si>
  <si>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</si>
  <si>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</si>
  <si>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</si>
  <si>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</si>
  <si>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</si>
  <si>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</si>
  <si>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</si>
  <si>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</si>
  <si>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</si>
  <si>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</si>
  <si>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</si>
  <si>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</si>
  <si>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</si>
  <si>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</si>
  <si>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</si>
  <si>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</si>
  <si>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</si>
  <si>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</si>
  <si>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</si>
  <si>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</si>
  <si>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</si>
  <si>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</si>
  <si>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</si>
  <si>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</si>
  <si>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</si>
  <si>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</si>
  <si>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</si>
  <si>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</si>
  <si>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</si>
  <si>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</si>
  <si>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</si>
  <si>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</si>
  <si>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</si>
  <si>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</si>
  <si>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</si>
  <si>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</si>
  <si>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</si>
  <si>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</si>
  <si>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</si>
  <si>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</si>
  <si>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</si>
  <si>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</si>
  <si>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</si>
  <si>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</si>
  <si>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</si>
  <si>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</si>
  <si>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</si>
  <si>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</si>
  <si>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</si>
  <si>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</si>
  <si>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</si>
  <si>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</si>
  <si>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</si>
  <si>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</si>
  <si>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</si>
  <si>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</si>
  <si>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</si>
  <si>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</si>
  <si>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</si>
  <si>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</si>
  <si>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</si>
  <si>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</si>
  <si>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</si>
  <si>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</si>
  <si>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</si>
  <si>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</si>
  <si>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</si>
  <si>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</si>
  <si>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</si>
  <si>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</si>
  <si>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</si>
  <si>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</si>
  <si>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</si>
  <si>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</si>
  <si>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</si>
  <si>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</si>
  <si>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</si>
  <si>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</si>
  <si>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</si>
  <si>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</si>
  <si>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</si>
  <si>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</si>
  <si>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</si>
  <si>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</si>
  <si>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</si>
  <si>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</si>
  <si>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</si>
  <si>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</si>
  <si>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</si>
  <si>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</si>
  <si>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</si>
  <si>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</si>
  <si>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</si>
  <si>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</si>
  <si>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</si>
  <si>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</si>
  <si>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</si>
  <si>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</si>
  <si>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</si>
  <si>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</si>
  <si>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</si>
  <si>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</si>
  <si>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</si>
  <si>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</si>
  <si>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</si>
  <si>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</si>
  <si>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</si>
  <si>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</si>
  <si>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</si>
  <si>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</si>
  <si>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</si>
  <si>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</si>
  <si>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</si>
  <si>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</si>
  <si>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</si>
  <si>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</si>
  <si>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</si>
  <si>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</si>
  <si>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</si>
  <si>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</si>
  <si>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</si>
  <si>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</si>
  <si>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</si>
  <si>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</si>
  <si>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</si>
  <si>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</si>
  <si>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</si>
  <si>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</si>
  <si>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</si>
  <si>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</si>
  <si>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</si>
  <si>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</si>
  <si>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</si>
  <si>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</si>
  <si>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</si>
  <si>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</si>
  <si>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</si>
  <si>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</si>
  <si>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</si>
  <si>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</si>
  <si>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</si>
  <si>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</si>
  <si>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</si>
  <si>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</si>
  <si>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</si>
  <si>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</si>
  <si>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</si>
  <si>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</si>
  <si>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</si>
  <si>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</si>
  <si>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</si>
  <si>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</si>
  <si>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</si>
  <si>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</si>
  <si>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</si>
  <si>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</si>
  <si>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</si>
  <si>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</si>
  <si>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</si>
  <si>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</si>
  <si>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</si>
  <si>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</si>
  <si>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</si>
  <si>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</si>
  <si>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</si>
  <si>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</si>
  <si>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</si>
  <si>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</si>
  <si>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</si>
  <si>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</si>
  <si>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</si>
  <si>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</si>
  <si>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</si>
  <si>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</si>
  <si>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</si>
  <si>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</si>
  <si>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</si>
  <si>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</si>
  <si>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</si>
  <si>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</si>
  <si>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</si>
  <si>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</si>
  <si>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</si>
  <si>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</si>
  <si>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</si>
  <si>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</si>
  <si>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</si>
  <si>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</si>
  <si>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</si>
  <si>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</si>
  <si>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</si>
  <si>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</si>
  <si>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</si>
  <si>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</si>
  <si>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</si>
  <si>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</si>
  <si>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</si>
  <si>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</si>
  <si>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</si>
  <si>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</si>
  <si>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</si>
  <si>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</si>
  <si>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</si>
  <si>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</si>
  <si>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</si>
  <si>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</si>
  <si>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</si>
  <si>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</si>
  <si>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</si>
  <si>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</si>
  <si>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</si>
  <si>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</si>
  <si>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</si>
  <si>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</si>
  <si>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</si>
  <si>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</si>
  <si>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</si>
  <si>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</si>
  <si>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</si>
  <si>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</si>
  <si>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</si>
  <si>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</si>
  <si>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</si>
  <si>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</si>
  <si>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</si>
  <si>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</si>
  <si>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</si>
  <si>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</si>
  <si>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</si>
  <si>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</si>
  <si>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</si>
  <si>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</si>
  <si>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</si>
  <si>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</si>
  <si>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</si>
  <si>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</si>
  <si>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</si>
  <si>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</si>
  <si>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</si>
  <si>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</si>
  <si>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</si>
  <si>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</si>
  <si>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</si>
  <si>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</si>
  <si>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</si>
  <si>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</si>
  <si>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</si>
  <si>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</si>
  <si>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</si>
  <si>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</si>
  <si>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</si>
  <si>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</si>
  <si>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</si>
  <si>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</si>
  <si>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</si>
  <si>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</si>
  <si>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</si>
  <si>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</si>
  <si>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</si>
  <si>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</si>
  <si>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</si>
  <si>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</si>
  <si>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</si>
  <si>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</si>
  <si>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</si>
  <si>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</si>
  <si>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</si>
  <si>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</si>
  <si>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</si>
  <si>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</si>
  <si>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</si>
  <si>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</si>
  <si>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</si>
  <si>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</si>
  <si>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</si>
  <si>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</si>
  <si>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</si>
  <si>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</si>
  <si>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</si>
  <si>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</si>
  <si>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</si>
  <si>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</si>
  <si>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</si>
  <si>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</si>
  <si>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</si>
  <si>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</si>
  <si>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</si>
  <si>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</si>
  <si>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</si>
  <si>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</si>
  <si>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</si>
  <si>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</si>
  <si>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</si>
  <si>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</si>
  <si>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</si>
  <si>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</si>
  <si>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</si>
  <si>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</si>
  <si>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</si>
  <si>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</si>
  <si>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</si>
  <si>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</si>
  <si>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</si>
  <si>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</si>
  <si>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</si>
  <si>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</si>
  <si>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</si>
  <si>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</si>
  <si>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</si>
  <si>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</si>
  <si>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</si>
  <si>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</si>
  <si>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</si>
  <si>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</si>
  <si>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</si>
  <si>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</si>
  <si>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</si>
  <si>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</si>
  <si>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</si>
  <si>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</si>
  <si>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</si>
  <si>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</si>
  <si>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</si>
  <si>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</si>
  <si>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</si>
  <si>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</si>
  <si>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</si>
  <si>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</si>
  <si>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</si>
  <si>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</si>
  <si>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</si>
  <si>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</si>
  <si>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</si>
  <si>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</si>
  <si>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</si>
  <si>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</si>
  <si>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</si>
  <si>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</si>
  <si>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</si>
  <si>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</si>
  <si>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</si>
  <si>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</si>
  <si>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</si>
  <si>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</si>
  <si>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</si>
  <si>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</si>
  <si>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</si>
  <si>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</si>
  <si>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</si>
  <si>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</si>
  <si>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</si>
  <si>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</si>
  <si>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</si>
  <si>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</si>
  <si>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</si>
  <si>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</si>
  <si>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</si>
  <si>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</si>
  <si>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</si>
  <si>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</si>
  <si>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</si>
  <si>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</si>
  <si>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</si>
  <si>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</si>
  <si>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</si>
  <si>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</si>
  <si>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</si>
  <si>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</si>
  <si>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</si>
  <si>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</si>
  <si>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</si>
  <si>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</si>
  <si>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</si>
  <si>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</si>
  <si>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</si>
  <si>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</si>
  <si>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</si>
  <si>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</si>
  <si>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</si>
  <si>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</si>
  <si>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</si>
  <si>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</si>
  <si>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</si>
  <si>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</si>
  <si>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</si>
  <si>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</si>
  <si>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</si>
  <si>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</si>
  <si>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</si>
  <si>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</si>
  <si>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</si>
  <si>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</si>
  <si>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</si>
  <si>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</si>
  <si>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</si>
  <si>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</si>
  <si>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</si>
  <si>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</si>
  <si>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</si>
  <si>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</si>
  <si>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</si>
  <si>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</si>
  <si>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</si>
  <si>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</si>
  <si>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</si>
  <si>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</si>
  <si>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</si>
  <si>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</si>
  <si>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</si>
  <si>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</si>
  <si>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</si>
  <si>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</si>
  <si>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</si>
  <si>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</si>
  <si>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</si>
  <si>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</si>
  <si>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</si>
  <si>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</si>
  <si>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</si>
  <si>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</si>
  <si>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</si>
  <si>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</si>
  <si>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</si>
  <si>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</si>
  <si>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</si>
  <si>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</si>
  <si>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</si>
  <si>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</si>
  <si>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</si>
  <si>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</si>
  <si>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</si>
  <si>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</si>
  <si>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</si>
  <si>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</si>
  <si>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</si>
  <si>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</si>
  <si>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</si>
  <si>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</si>
  <si>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</si>
  <si>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</si>
  <si>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</si>
  <si>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</si>
  <si>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</si>
  <si>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</si>
  <si>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</si>
  <si>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</si>
  <si>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</si>
  <si>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</si>
  <si>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</si>
  <si>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</si>
  <si>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</si>
  <si>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</si>
  <si>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</si>
  <si>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</si>
  <si>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</si>
  <si>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</si>
  <si>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</si>
  <si>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</si>
  <si>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</si>
  <si>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</si>
  <si>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</si>
  <si>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</si>
  <si>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</si>
  <si>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</si>
  <si>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</si>
  <si>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</si>
  <si>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</si>
  <si>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</si>
  <si>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</si>
  <si>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</si>
  <si>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</si>
  <si>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</si>
  <si>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</si>
  <si>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</si>
  <si>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</si>
  <si>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</si>
  <si>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</si>
  <si>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</si>
  <si>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</si>
  <si>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</si>
  <si>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</si>
  <si>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</si>
  <si>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</si>
  <si>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</si>
  <si>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</si>
  <si>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</si>
  <si>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</si>
  <si>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</si>
  <si>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</si>
  <si>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</si>
  <si>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</si>
  <si>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</si>
  <si>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</si>
  <si>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</si>
  <si>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</si>
  <si>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</si>
  <si>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</si>
  <si>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</si>
  <si>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</si>
  <si>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</si>
  <si>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</si>
  <si>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</si>
  <si>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</si>
  <si>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</si>
  <si>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</si>
  <si>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</si>
  <si>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</si>
  <si>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</si>
  <si>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</si>
  <si>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</si>
  <si>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</si>
  <si>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</si>
  <si>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</si>
  <si>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</si>
  <si>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</si>
  <si>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</si>
  <si>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</si>
  <si>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</si>
  <si>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</si>
  <si>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</si>
  <si>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</si>
  <si>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</si>
  <si>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</si>
  <si>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</si>
  <si>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</si>
  <si>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</si>
  <si>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</si>
  <si>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</si>
  <si>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</si>
  <si>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</si>
  <si>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</si>
  <si>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</si>
  <si>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</si>
  <si>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</si>
  <si>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</si>
  <si>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</si>
  <si>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</si>
  <si>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</si>
  <si>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</si>
  <si>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</si>
  <si>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</si>
  <si>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</si>
  <si>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</si>
  <si>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</si>
  <si>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</si>
  <si>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</si>
  <si>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</si>
  <si>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</si>
  <si>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</si>
  <si>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</si>
  <si>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</si>
  <si>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</si>
  <si>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</si>
  <si>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</si>
  <si>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</si>
  <si>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</si>
  <si>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</si>
  <si>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</si>
  <si>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</si>
  <si>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</si>
  <si>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</si>
  <si>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</si>
  <si>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</si>
  <si>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</si>
  <si>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</si>
  <si>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</si>
  <si>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</si>
  <si>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</si>
  <si>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</si>
  <si>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</si>
  <si>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</si>
  <si>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</si>
  <si>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</si>
  <si>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</si>
  <si>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</si>
  <si>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</si>
  <si>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</si>
  <si>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</si>
  <si>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</si>
  <si>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</si>
  <si>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</si>
  <si>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</si>
  <si>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</si>
  <si>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</si>
  <si>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</si>
  <si>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</si>
  <si>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</si>
  <si>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</si>
  <si>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</si>
  <si>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</si>
  <si>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</si>
  <si>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</si>
  <si>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</si>
  <si>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</si>
  <si>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</si>
  <si>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</si>
  <si>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</si>
  <si>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</si>
  <si>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</si>
  <si>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</si>
  <si>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</si>
  <si>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</si>
  <si>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</si>
  <si>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</si>
  <si>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</si>
  <si>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</si>
  <si>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</si>
  <si>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</si>
  <si>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</si>
  <si>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</si>
  <si>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</si>
  <si>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</si>
  <si>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</si>
  <si>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</si>
  <si>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</si>
  <si>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</si>
  <si>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</si>
  <si>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</si>
  <si>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</si>
  <si>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</si>
  <si>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</si>
  <si>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</si>
  <si>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</si>
  <si>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</si>
  <si>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</si>
  <si>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</si>
  <si>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</si>
  <si>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</si>
  <si>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</si>
  <si>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</si>
  <si>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</si>
  <si>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</si>
  <si>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</si>
  <si>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</si>
  <si>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</si>
  <si>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</si>
  <si>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</si>
  <si>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</si>
  <si>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</si>
  <si>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</si>
  <si>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</si>
  <si>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</si>
  <si>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</si>
  <si>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</si>
  <si>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</si>
  <si>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</si>
  <si>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</si>
  <si>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</si>
  <si>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</si>
  <si>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</si>
  <si>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</si>
  <si>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</si>
  <si>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</si>
  <si>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</si>
  <si>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</si>
  <si>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</si>
  <si>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</si>
  <si>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</si>
  <si>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</si>
  <si>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</si>
  <si>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</si>
  <si>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</si>
  <si>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</si>
  <si>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</si>
  <si>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</si>
  <si>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</si>
  <si>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</si>
  <si>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</si>
  <si>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</si>
  <si>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</si>
  <si>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</si>
  <si>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</si>
  <si>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</si>
  <si>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</si>
  <si>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</si>
  <si>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</si>
  <si>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</si>
  <si>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</si>
  <si>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</si>
  <si>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</si>
  <si>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</si>
  <si>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</si>
  <si>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</si>
  <si>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</si>
  <si>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</si>
  <si>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</si>
  <si>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</si>
  <si>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</si>
  <si>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</si>
  <si>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</si>
  <si>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</si>
  <si>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</si>
  <si>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</si>
  <si>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</si>
  <si>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</si>
  <si>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</si>
  <si>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</si>
  <si>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</si>
  <si>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</si>
  <si>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</si>
  <si>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</si>
  <si>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</si>
  <si>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</si>
  <si>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</si>
  <si>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</si>
  <si>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</si>
  <si>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</si>
  <si>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</si>
  <si>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</si>
  <si>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</si>
  <si>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</si>
  <si>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</si>
  <si>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</si>
  <si>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</si>
  <si>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</si>
  <si>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</si>
  <si>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</si>
  <si>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</si>
  <si>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</si>
  <si>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</si>
  <si>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</si>
  <si>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</si>
  <si>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</si>
  <si>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</si>
  <si>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</si>
  <si>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</si>
  <si>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</si>
  <si>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</si>
  <si>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</si>
  <si>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</si>
  <si>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</si>
  <si>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</si>
  <si>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</si>
  <si>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</si>
  <si>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</si>
  <si>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</si>
  <si>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</si>
  <si>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</si>
  <si>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</si>
  <si>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</si>
  <si>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</si>
  <si>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</si>
  <si>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</si>
  <si>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</si>
  <si>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</si>
  <si>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</si>
  <si>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</si>
  <si>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</si>
  <si>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</si>
  <si>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</si>
  <si>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</si>
  <si>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</si>
  <si>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</si>
  <si>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</si>
  <si>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</si>
  <si>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</si>
  <si>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</si>
  <si>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</si>
  <si>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</si>
  <si>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</si>
  <si>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</si>
  <si>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</si>
  <si>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</si>
  <si>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</si>
  <si>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</si>
  <si>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</si>
  <si>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</si>
  <si>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</si>
  <si>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</si>
  <si>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</si>
  <si>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</si>
  <si>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</si>
  <si>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</si>
  <si>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</si>
  <si>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</si>
  <si>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</si>
  <si>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</si>
  <si>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</si>
  <si>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</si>
  <si>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</si>
  <si>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</si>
  <si>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</si>
  <si>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</si>
  <si>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</si>
  <si>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</si>
  <si>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</si>
  <si>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</si>
  <si>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</si>
  <si>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</si>
  <si>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</si>
  <si>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</si>
  <si>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</si>
  <si>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</si>
  <si>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</si>
  <si>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</si>
  <si>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</si>
  <si>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</si>
  <si>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</si>
  <si>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</si>
  <si>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</si>
  <si>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</si>
  <si>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</si>
  <si>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</si>
  <si>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</si>
  <si>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</si>
  <si>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</si>
  <si>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</si>
  <si>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</si>
  <si>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</si>
  <si>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</si>
  <si>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</si>
  <si>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</si>
  <si>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</si>
  <si>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</si>
  <si>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</si>
  <si>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</si>
  <si>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</si>
  <si>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</si>
  <si>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</si>
  <si>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</si>
  <si>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</si>
  <si>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</si>
  <si>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</si>
  <si>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</si>
  <si>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</si>
  <si>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</si>
  <si>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</si>
  <si>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</si>
  <si>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</si>
  <si>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</si>
  <si>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</si>
  <si>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</si>
  <si>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</si>
  <si>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</si>
  <si>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</si>
  <si>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</si>
  <si>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</si>
  <si>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</si>
  <si>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</si>
  <si>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</si>
  <si>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</si>
  <si>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</si>
  <si>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</si>
  <si>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</si>
  <si>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</si>
  <si>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</si>
  <si>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</si>
  <si>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</si>
  <si>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</si>
  <si>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</si>
  <si>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</si>
  <si>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</si>
  <si>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</si>
  <si>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</si>
  <si>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</si>
  <si>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</si>
  <si>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</si>
  <si>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</si>
  <si>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</si>
  <si>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</si>
  <si>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</si>
  <si>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</si>
  <si>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</si>
  <si>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</si>
  <si>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</si>
  <si>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</si>
  <si>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</si>
  <si>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</si>
  <si>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</si>
  <si>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</si>
  <si>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</si>
  <si>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</si>
  <si>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</si>
  <si>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</si>
  <si>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</si>
  <si>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</si>
  <si>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</si>
  <si>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</si>
  <si>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</si>
  <si>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</si>
  <si>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</si>
  <si>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</si>
  <si>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</si>
  <si>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</si>
  <si>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</si>
  <si>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</si>
  <si>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</si>
  <si>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</si>
  <si>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</si>
  <si>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</si>
  <si>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</si>
  <si>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</si>
  <si>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</si>
  <si>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</si>
  <si>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</si>
  <si>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</si>
  <si>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</si>
  <si>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</si>
  <si>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</si>
  <si>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</si>
  <si>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</si>
  <si>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</si>
  <si>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</si>
  <si>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</si>
  <si>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</si>
  <si>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</si>
  <si>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</si>
  <si>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</si>
  <si>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</si>
  <si>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</si>
  <si>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</si>
  <si>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</si>
  <si>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</si>
  <si>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</si>
  <si>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</si>
  <si>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</si>
  <si>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</si>
  <si>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</si>
  <si>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</si>
  <si>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</si>
  <si>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</si>
  <si>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</si>
  <si>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</si>
  <si>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</si>
  <si>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</si>
  <si>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</si>
  <si>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</si>
  <si>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</si>
  <si>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</si>
  <si>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</si>
  <si>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</si>
  <si>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</si>
  <si>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</si>
  <si>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</si>
  <si>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</si>
  <si>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</si>
  <si>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</si>
  <si>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</si>
  <si>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</si>
  <si>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</si>
  <si>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</si>
  <si>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</si>
  <si>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</si>
  <si>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</si>
  <si>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</si>
  <si>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</si>
  <si>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</si>
  <si>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</si>
  <si>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</si>
  <si>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</si>
  <si>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</si>
  <si>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</si>
  <si>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</si>
  <si>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</si>
  <si>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</si>
  <si>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</si>
  <si>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</si>
  <si>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</si>
  <si>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</si>
  <si>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</si>
  <si>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</si>
  <si>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</si>
  <si>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</si>
  <si>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</si>
  <si>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</si>
  <si>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</si>
  <si>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</si>
  <si>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</si>
  <si>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</si>
  <si>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</si>
  <si>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</si>
  <si>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</si>
  <si>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</si>
  <si>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</si>
  <si>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</si>
  <si>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</si>
  <si>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</si>
  <si>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</si>
  <si>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</si>
  <si>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</si>
  <si>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</si>
  <si>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</si>
  <si>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</si>
  <si>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</si>
  <si>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</si>
  <si>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</si>
  <si>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</si>
  <si>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</si>
  <si>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</si>
  <si>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</si>
  <si>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</si>
  <si>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</si>
  <si>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</si>
  <si>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</si>
  <si>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</si>
  <si>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</si>
  <si>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</si>
  <si>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</si>
  <si>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</si>
  <si>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</si>
  <si>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</si>
  <si>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</si>
  <si>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</si>
  <si>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</si>
  <si>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</si>
  <si>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</si>
  <si>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</si>
  <si>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</si>
  <si>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</si>
  <si>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</si>
  <si>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</si>
  <si>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</si>
  <si>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</si>
  <si>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</si>
  <si>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</si>
  <si>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</si>
  <si>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</si>
  <si>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</si>
  <si>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</si>
  <si>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</si>
  <si>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</si>
  <si>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</si>
  <si>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</si>
  <si>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</si>
  <si>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</si>
  <si>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</si>
  <si>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</si>
  <si>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</si>
  <si>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</si>
  <si>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</si>
  <si>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</si>
  <si>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</si>
  <si>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</si>
  <si>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</si>
  <si>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</si>
  <si>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</si>
  <si>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</si>
  <si>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</si>
  <si>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</si>
  <si>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</si>
  <si>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</si>
  <si>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</si>
  <si>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</si>
  <si>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</si>
  <si>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</si>
  <si>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</si>
  <si>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</si>
  <si>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</si>
  <si>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</si>
  <si>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</si>
  <si>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</si>
  <si>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</si>
  <si>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</si>
  <si>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</si>
  <si>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</si>
  <si>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</si>
  <si>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</si>
  <si>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</si>
  <si>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</si>
  <si>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</si>
  <si>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</si>
  <si>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</si>
  <si>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</si>
  <si>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</si>
  <si>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</si>
  <si>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</si>
  <si>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</si>
  <si>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</si>
  <si>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</si>
  <si>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</si>
  <si>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</si>
  <si>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</si>
  <si>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</si>
  <si>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</si>
  <si>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</si>
  <si>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</si>
  <si>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</si>
  <si>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</si>
  <si>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</si>
  <si>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</si>
  <si>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</si>
  <si>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</si>
  <si>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</si>
  <si>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</si>
  <si>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</si>
  <si>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</si>
  <si>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</si>
  <si>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</si>
  <si>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</si>
  <si>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</si>
  <si>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</si>
  <si>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</si>
  <si>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</si>
  <si>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</si>
  <si>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</si>
  <si>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</si>
  <si>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</si>
  <si>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</si>
  <si>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</si>
  <si>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</si>
  <si>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</si>
  <si>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</si>
  <si>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</si>
  <si>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</si>
  <si>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</si>
  <si>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</si>
  <si>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</si>
  <si>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</si>
  <si>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</si>
  <si>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</si>
  <si>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</si>
  <si>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</si>
  <si>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</si>
  <si>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</si>
  <si>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</si>
  <si>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</si>
  <si>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</si>
  <si>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</si>
  <si>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</si>
  <si>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</si>
  <si>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</si>
  <si>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</si>
  <si>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</si>
  <si>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</si>
  <si>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</si>
  <si>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</si>
  <si>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</si>
  <si>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</si>
  <si>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</si>
  <si>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</si>
  <si>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</si>
  <si>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</si>
  <si>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</si>
  <si>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</si>
  <si>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</si>
  <si>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</si>
  <si>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</si>
  <si>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</si>
  <si>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</si>
  <si>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</si>
  <si>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</si>
  <si>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</si>
  <si>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</si>
  <si>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</si>
  <si>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</si>
  <si>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</si>
  <si>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</si>
  <si>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</si>
  <si>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</si>
  <si>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</si>
  <si>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</si>
  <si>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</si>
  <si>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</si>
  <si>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</si>
  <si>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</si>
  <si>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</si>
  <si>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</si>
  <si>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</si>
  <si>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</si>
  <si>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</si>
  <si>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</si>
  <si>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</si>
  <si>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</si>
  <si>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</si>
  <si>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</si>
  <si>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</si>
  <si>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</si>
  <si>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</si>
  <si>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</si>
  <si>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</si>
  <si>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</si>
  <si>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</si>
  <si>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</si>
  <si>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</si>
  <si>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</si>
  <si>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</si>
  <si>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</si>
  <si>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</si>
  <si>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</si>
  <si>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</si>
  <si>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</si>
  <si>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</si>
  <si>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</si>
  <si>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</si>
  <si>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</si>
  <si>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</si>
  <si>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</si>
  <si>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</si>
  <si>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</si>
  <si>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</si>
  <si>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</si>
  <si>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</si>
  <si>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</si>
  <si>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</si>
  <si>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</si>
  <si>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</si>
  <si>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</si>
  <si>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</si>
  <si>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</si>
  <si>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</si>
  <si>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</si>
  <si>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</si>
  <si>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</si>
  <si>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</si>
  <si>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</si>
  <si>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</si>
  <si>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</si>
  <si>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</si>
  <si>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</si>
  <si>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</si>
  <si>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</si>
  <si>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</si>
  <si>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</si>
  <si>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</si>
  <si>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</si>
  <si>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</si>
  <si>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</si>
  <si>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</si>
  <si>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</si>
  <si>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</si>
  <si>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</si>
  <si>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</si>
  <si>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</si>
  <si>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</si>
  <si>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</si>
  <si>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</si>
  <si>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</si>
  <si>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</si>
  <si>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</si>
  <si>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</si>
  <si>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</si>
  <si>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</si>
  <si>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</si>
  <si>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</si>
  <si>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</si>
  <si>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</si>
  <si>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</si>
  <si>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</si>
  <si>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</si>
  <si>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</si>
  <si>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</si>
  <si>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</si>
  <si>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</si>
  <si>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</si>
  <si>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</si>
  <si>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</si>
  <si>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</si>
  <si>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</si>
  <si>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</si>
  <si>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</si>
  <si>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</si>
  <si>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</si>
  <si>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</si>
  <si>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</si>
  <si>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</si>
  <si>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</si>
  <si>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</si>
  <si>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</si>
  <si>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</si>
  <si>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</si>
  <si>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</si>
  <si>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</si>
  <si>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</si>
  <si>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</si>
  <si>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</si>
  <si>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</si>
  <si>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</si>
  <si>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</si>
  <si>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</si>
  <si>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</si>
  <si>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</si>
  <si>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</si>
  <si>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</si>
  <si>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</si>
  <si>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</si>
  <si>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</si>
  <si>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</si>
  <si>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</si>
  <si>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</si>
  <si>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</si>
  <si>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</si>
  <si>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</si>
  <si>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</si>
  <si>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</si>
  <si>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</si>
  <si>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</si>
  <si>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</si>
  <si>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</si>
  <si>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</si>
  <si>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</si>
  <si>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</si>
  <si>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</si>
  <si>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</si>
  <si>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</si>
  <si>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</si>
  <si>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</si>
  <si>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</si>
  <si>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</si>
  <si>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</si>
  <si>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</si>
  <si>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</si>
  <si>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</si>
  <si>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</si>
  <si>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</si>
  <si>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</si>
  <si>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</si>
  <si>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</si>
  <si>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</si>
  <si>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</si>
  <si>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</si>
  <si>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</si>
  <si>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</si>
  <si>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</si>
  <si>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</si>
  <si>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</si>
  <si>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</si>
  <si>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</si>
  <si>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</si>
  <si>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</si>
  <si>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</si>
  <si>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</si>
  <si>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</si>
  <si>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</si>
  <si>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</si>
  <si>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</si>
  <si>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</si>
  <si>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</si>
  <si>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</si>
  <si>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</si>
  <si>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</si>
  <si>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</si>
  <si>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</si>
  <si>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</si>
  <si>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</si>
  <si>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</si>
  <si>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</si>
  <si>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</si>
  <si>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</si>
  <si>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</si>
  <si>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</si>
  <si>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</si>
  <si>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</si>
  <si>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</si>
  <si>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</si>
  <si>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</si>
  <si>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</si>
  <si>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</si>
  <si>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</si>
  <si>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</si>
  <si>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</si>
  <si>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</si>
  <si>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</si>
  <si>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</si>
  <si>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</si>
  <si>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</si>
  <si>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</si>
  <si>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</si>
  <si>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</si>
  <si>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</si>
  <si>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</si>
  <si>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</si>
  <si>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</si>
  <si>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</si>
  <si>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</si>
  <si>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</si>
  <si>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</si>
  <si>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</si>
  <si>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</si>
  <si>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</si>
  <si>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</si>
  <si>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</si>
  <si>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</si>
  <si>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</si>
  <si>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</si>
  <si>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</si>
  <si>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</si>
  <si>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</si>
  <si>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</si>
  <si>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</si>
  <si>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</si>
  <si>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</si>
  <si>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</si>
  <si>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</si>
  <si>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</si>
  <si>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</si>
  <si>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</si>
  <si>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</si>
  <si>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</si>
  <si>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</si>
  <si>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</si>
  <si>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</si>
  <si>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</si>
  <si>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</si>
  <si>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</si>
  <si>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</si>
  <si>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</si>
  <si>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</si>
  <si>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</si>
  <si>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</si>
  <si>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</si>
  <si>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</si>
  <si>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</si>
  <si>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</si>
  <si>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</si>
  <si>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</si>
  <si>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</si>
  <si>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</si>
  <si>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</si>
  <si>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</si>
  <si>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</si>
  <si>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</si>
  <si>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</si>
  <si>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</si>
  <si>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</si>
  <si>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</si>
  <si>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</si>
  <si>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</si>
  <si>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</si>
  <si>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</si>
  <si>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</si>
  <si>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</si>
  <si>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</si>
  <si>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</si>
  <si>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</si>
  <si>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</si>
  <si>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</si>
  <si>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</si>
  <si>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</si>
  <si>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</si>
  <si>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</si>
  <si>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</si>
  <si>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</si>
  <si>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</si>
  <si>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</si>
  <si>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</si>
  <si>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</si>
  <si>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</si>
  <si>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</si>
  <si>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</si>
  <si>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</si>
  <si>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</si>
  <si>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</si>
  <si>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</si>
  <si>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</si>
  <si>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</si>
  <si>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</si>
  <si>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</si>
  <si>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</si>
  <si>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</si>
  <si>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</si>
  <si>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</si>
  <si>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</si>
  <si>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</si>
  <si>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</si>
  <si>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</si>
  <si>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</si>
  <si>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</si>
  <si>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</si>
  <si>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</si>
  <si>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</si>
  <si>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</si>
  <si>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</si>
  <si>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</si>
  <si>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</si>
  <si>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</si>
  <si>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</si>
  <si>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</si>
  <si>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</si>
  <si>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</si>
  <si>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</si>
  <si>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</si>
  <si>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</si>
  <si>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</si>
  <si>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</si>
  <si>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</si>
  <si>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</si>
  <si>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</si>
  <si>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</si>
  <si>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</si>
  <si>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</si>
  <si>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</si>
  <si>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</si>
  <si>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</si>
  <si>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</si>
  <si>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</si>
  <si>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</si>
  <si>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</si>
  <si>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</si>
  <si>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</si>
  <si>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</si>
  <si>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</si>
  <si>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</si>
  <si>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</si>
  <si>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</si>
  <si>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</si>
  <si>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</si>
  <si>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</si>
  <si>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</si>
  <si>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</si>
  <si>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</si>
  <si>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</si>
  <si>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</si>
  <si>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</si>
  <si>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</si>
  <si>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</si>
  <si>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</si>
  <si>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</si>
  <si>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</si>
  <si>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</si>
  <si>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</si>
  <si>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</si>
  <si>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</si>
  <si>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</si>
  <si>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</si>
  <si>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</si>
  <si>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</si>
  <si>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</si>
  <si>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</si>
  <si>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</si>
  <si>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</si>
  <si>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</si>
  <si>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</si>
  <si>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</si>
  <si>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</si>
  <si>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</si>
  <si>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</si>
  <si>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</si>
  <si>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</si>
  <si>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</si>
  <si>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</si>
  <si>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</si>
  <si>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</si>
  <si>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</si>
  <si>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</si>
  <si>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</si>
  <si>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</si>
  <si>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</si>
  <si>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</si>
  <si>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</si>
  <si>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</si>
  <si>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</si>
  <si>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</si>
  <si>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</si>
  <si>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</si>
  <si>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</si>
  <si>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</si>
  <si>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</si>
  <si>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</si>
  <si>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</si>
  <si>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</si>
  <si>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</si>
  <si>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</si>
  <si>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</si>
  <si>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</si>
  <si>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</si>
  <si>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</si>
  <si>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</si>
  <si>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</si>
  <si>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</si>
  <si>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</si>
  <si>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</si>
  <si>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</si>
  <si>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</si>
  <si>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</si>
  <si>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</si>
  <si>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</si>
  <si>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</si>
  <si>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</si>
  <si>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</si>
  <si>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</si>
  <si>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</si>
  <si>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</si>
  <si>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</si>
  <si>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</si>
  <si>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</si>
  <si>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</si>
  <si>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</si>
  <si>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</si>
  <si>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</si>
  <si>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</si>
  <si>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</si>
  <si>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</si>
  <si>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</si>
  <si>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</si>
  <si>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</si>
  <si>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</si>
  <si>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</si>
  <si>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</si>
  <si>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</si>
  <si>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</si>
  <si>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</si>
  <si>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</si>
  <si>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</si>
  <si>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</si>
  <si>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</si>
  <si>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</si>
  <si>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</si>
  <si>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</si>
  <si>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</si>
  <si>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</si>
  <si>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</si>
  <si>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</si>
  <si>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</si>
  <si>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</si>
  <si>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</si>
  <si>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</si>
  <si>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</si>
  <si>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</si>
  <si>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</si>
  <si>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</si>
  <si>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</si>
  <si>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</si>
  <si>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</si>
  <si>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</si>
  <si>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</si>
  <si>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</si>
  <si>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</si>
  <si>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</si>
  <si>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</si>
  <si>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</si>
  <si>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</si>
  <si>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</si>
  <si>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</si>
  <si>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</si>
  <si>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</si>
  <si>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</si>
  <si>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</si>
  <si>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</si>
  <si>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</si>
  <si>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</si>
  <si>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</si>
  <si>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</si>
  <si>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</si>
  <si>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</si>
  <si>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</si>
  <si>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</si>
  <si>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</si>
  <si>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</si>
  <si>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</si>
  <si>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</si>
  <si>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</si>
  <si>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</si>
  <si>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</si>
  <si>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</si>
  <si>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</si>
  <si>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</si>
  <si>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</si>
  <si>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</si>
  <si>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</si>
  <si>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</si>
  <si>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</si>
  <si>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</si>
  <si>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</si>
  <si>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</si>
  <si>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</si>
  <si>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</si>
  <si>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</si>
  <si>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</si>
  <si>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</si>
  <si>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</si>
  <si>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</si>
  <si>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</si>
  <si>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</si>
  <si>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</si>
  <si>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</si>
  <si>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</si>
  <si>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</si>
  <si>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</si>
  <si>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</si>
  <si>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</si>
  <si>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</si>
  <si>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</si>
  <si>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</si>
  <si>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</si>
  <si>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</si>
  <si>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</si>
  <si>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</si>
  <si>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</si>
  <si>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</si>
  <si>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</si>
  <si>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</si>
  <si>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</si>
  <si>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</si>
  <si>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</si>
  <si>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</si>
  <si>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</si>
  <si>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</si>
  <si>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</si>
  <si>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</si>
  <si>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</si>
  <si>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</si>
  <si>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</si>
  <si>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</si>
  <si>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</si>
  <si>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</si>
  <si>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</si>
  <si>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</si>
  <si>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</si>
  <si>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</si>
  <si>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</si>
  <si>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</si>
  <si>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</si>
  <si>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</si>
  <si>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</si>
  <si>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</si>
  <si>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</si>
  <si>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</si>
  <si>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</si>
  <si>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</si>
  <si>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</si>
  <si>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</si>
  <si>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</si>
  <si>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</si>
  <si>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</si>
  <si>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</si>
  <si>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</si>
  <si>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</si>
  <si>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</si>
  <si>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</si>
  <si>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</si>
  <si>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</si>
  <si>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</si>
  <si>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</si>
  <si>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</si>
  <si>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</si>
  <si>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</si>
  <si>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</si>
  <si>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</si>
  <si>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</si>
  <si>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</si>
  <si>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</si>
  <si>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</si>
  <si>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</si>
  <si>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</si>
  <si>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</si>
  <si>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</si>
  <si>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</si>
  <si>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</si>
  <si>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</si>
  <si>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</si>
  <si>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</si>
  <si>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</si>
  <si>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</si>
  <si>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</si>
  <si>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</si>
  <si>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</si>
  <si>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</si>
  <si>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</si>
  <si>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</si>
  <si>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</si>
  <si>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</si>
  <si>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</si>
  <si>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</si>
  <si>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</si>
  <si>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</si>
  <si>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</si>
  <si>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</si>
  <si>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</si>
  <si>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</si>
  <si>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</si>
  <si>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</si>
  <si>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</si>
  <si>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</si>
  <si>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</si>
  <si>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</si>
  <si>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</si>
  <si>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</si>
  <si>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</si>
  <si>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</si>
  <si>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</si>
  <si>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</si>
  <si>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</si>
  <si>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</si>
  <si>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</si>
  <si>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</si>
  <si>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</si>
  <si>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</si>
  <si>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</si>
  <si>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</si>
  <si>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</si>
  <si>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</si>
  <si>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</si>
  <si>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</si>
  <si>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</si>
  <si>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</si>
  <si>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</si>
  <si>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</si>
  <si>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</si>
  <si>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</si>
  <si>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</si>
  <si>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</si>
  <si>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</si>
  <si>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</si>
  <si>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</si>
  <si>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</si>
  <si>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</si>
  <si>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</si>
  <si>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</si>
  <si>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</si>
  <si>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</si>
  <si>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</si>
  <si>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</si>
  <si>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</si>
  <si>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</si>
  <si>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</si>
  <si>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</si>
  <si>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</si>
  <si>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</si>
  <si>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</si>
  <si>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</si>
  <si>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</si>
  <si>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</si>
  <si>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</si>
  <si>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</si>
  <si>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</si>
  <si>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</si>
  <si>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</si>
  <si>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</si>
  <si>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</si>
  <si>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</si>
  <si>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</si>
  <si>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</si>
  <si>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</si>
  <si>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</si>
  <si>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</si>
  <si>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</si>
  <si>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</si>
  <si>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</si>
  <si>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</si>
  <si>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</si>
  <si>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</si>
  <si>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</si>
  <si>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</si>
  <si>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</si>
  <si>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</si>
  <si>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</si>
  <si>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</si>
  <si>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</si>
  <si>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</si>
  <si>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</si>
  <si>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</si>
  <si>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</si>
  <si>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</si>
  <si>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</si>
  <si>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</si>
  <si>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</si>
  <si>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</si>
  <si>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</si>
  <si>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</si>
  <si>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</si>
  <si>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</si>
  <si>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</si>
  <si>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</si>
  <si>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</si>
  <si>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</si>
  <si>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</si>
  <si>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</si>
  <si>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</si>
  <si>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</si>
  <si>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</si>
  <si>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</si>
  <si>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</si>
  <si>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</si>
  <si>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</si>
  <si>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</si>
  <si>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</si>
  <si>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</si>
  <si>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</si>
  <si>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</si>
  <si>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</si>
  <si>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</si>
  <si>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</si>
  <si>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</si>
  <si>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</si>
  <si>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</si>
  <si>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</si>
  <si>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</si>
  <si>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</si>
  <si>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</si>
  <si>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</si>
  <si>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</si>
  <si>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</si>
  <si>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</si>
  <si>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</si>
  <si>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</si>
  <si>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</si>
  <si>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</si>
  <si>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</si>
  <si>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</si>
  <si>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</si>
  <si>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</si>
  <si>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</si>
  <si>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</si>
  <si>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</si>
  <si>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</si>
  <si>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</si>
  <si>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</si>
  <si>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</si>
  <si>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</si>
  <si>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</si>
  <si>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</si>
  <si>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</si>
  <si>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</si>
  <si>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</si>
  <si>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</si>
  <si>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</si>
  <si>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</si>
  <si>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</si>
  <si>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</si>
  <si>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</si>
  <si>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</si>
  <si>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</si>
  <si>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</si>
  <si>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</si>
  <si>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</si>
  <si>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</si>
  <si>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</si>
  <si>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</si>
  <si>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</si>
  <si>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</si>
  <si>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</si>
  <si>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</si>
  <si>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</si>
  <si>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</si>
  <si>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</si>
  <si>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</si>
  <si>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</si>
  <si>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</si>
  <si>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</si>
  <si>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</si>
  <si>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</si>
  <si>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</si>
  <si>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</si>
  <si>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</si>
  <si>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</si>
  <si>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</si>
  <si>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</si>
  <si>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</si>
  <si>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</si>
  <si>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</si>
  <si>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</si>
  <si>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</si>
  <si>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</si>
  <si>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</si>
  <si>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</si>
  <si>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</si>
  <si>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</si>
  <si>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</si>
  <si>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</si>
  <si>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</si>
  <si>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</si>
  <si>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</si>
  <si>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</si>
  <si>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</si>
  <si>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</si>
  <si>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</si>
  <si>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</si>
  <si>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</si>
  <si>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</si>
  <si>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</si>
  <si>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</si>
  <si>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</si>
  <si>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</si>
  <si>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</si>
  <si>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</si>
  <si>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</si>
  <si>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</si>
  <si>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</si>
  <si>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</si>
  <si>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</si>
  <si>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</si>
  <si>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</si>
  <si>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</si>
  <si>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</si>
  <si>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</si>
  <si>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</si>
  <si>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</si>
  <si>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</si>
  <si>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</si>
  <si>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</si>
  <si>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</si>
  <si>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</si>
  <si>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</si>
  <si>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</si>
  <si>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</si>
  <si>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</si>
  <si>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</si>
  <si>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</si>
  <si>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</si>
  <si>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</si>
  <si>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</si>
  <si>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</si>
  <si>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</si>
  <si>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</si>
  <si>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</si>
  <si>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</si>
  <si>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</si>
  <si>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</si>
  <si>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</si>
  <si>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</si>
  <si>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</si>
  <si>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</si>
  <si>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</si>
  <si>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</si>
  <si>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</si>
  <si>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</si>
  <si>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</si>
  <si>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</si>
  <si>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</si>
  <si>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</si>
  <si>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</si>
  <si>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</si>
  <si>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</si>
  <si>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</si>
  <si>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</si>
  <si>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</si>
  <si>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</si>
  <si>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</si>
  <si>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</si>
  <si>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</si>
  <si>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</si>
  <si>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</si>
  <si>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</si>
  <si>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</si>
  <si>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</si>
  <si>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</si>
  <si>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</si>
  <si>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</si>
  <si>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</si>
  <si>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</si>
  <si>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</si>
  <si>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</si>
  <si>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</si>
  <si>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</si>
  <si>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</si>
  <si>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</si>
  <si>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</si>
  <si>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</si>
  <si>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</si>
  <si>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</si>
  <si>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</si>
  <si>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</si>
  <si>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</si>
  <si>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</si>
  <si>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</si>
  <si>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</si>
  <si>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</si>
  <si>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</si>
  <si>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</si>
  <si>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</si>
  <si>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</si>
  <si>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</si>
  <si>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</si>
  <si>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</si>
  <si>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</si>
  <si>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</si>
  <si>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</si>
  <si>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</si>
  <si>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</si>
  <si>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</si>
  <si>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</si>
  <si>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</si>
  <si>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</si>
  <si>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</si>
  <si>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</si>
  <si>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</si>
  <si>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</si>
  <si>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</si>
  <si>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</si>
  <si>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</si>
  <si>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</si>
  <si>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</si>
  <si>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</si>
  <si>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</si>
  <si>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</si>
  <si>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</si>
  <si>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</si>
  <si>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</si>
  <si>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</si>
  <si>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</si>
  <si>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</si>
  <si>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</si>
  <si>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</si>
  <si>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</si>
  <si>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</si>
  <si>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</si>
  <si>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</si>
  <si>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</si>
  <si>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</si>
  <si>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</si>
  <si>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</si>
  <si>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</si>
  <si>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</si>
  <si>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</si>
  <si>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</si>
  <si>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</si>
  <si>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</si>
  <si>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</si>
  <si>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</si>
  <si>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</si>
  <si>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</si>
  <si>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</si>
  <si>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</si>
  <si>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</si>
  <si>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</si>
  <si>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</si>
  <si>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</si>
  <si>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</si>
  <si>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</si>
  <si>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</si>
  <si>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</si>
  <si>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</si>
  <si>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</si>
  <si>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</si>
  <si>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</si>
  <si>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</si>
  <si>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</si>
  <si>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</si>
  <si>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</si>
  <si>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</si>
  <si>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</si>
  <si>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</si>
  <si>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</si>
  <si>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</si>
  <si>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</si>
  <si>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</si>
  <si>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</si>
  <si>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</si>
  <si>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</si>
  <si>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</si>
  <si>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</si>
  <si>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</si>
  <si>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</si>
  <si>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</si>
  <si>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</si>
  <si>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</si>
  <si>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</si>
  <si>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</si>
  <si>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</si>
  <si>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</si>
  <si>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</si>
  <si>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</si>
  <si>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</si>
  <si>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</si>
  <si>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</si>
  <si>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</si>
  <si>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</si>
  <si>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</si>
  <si>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</si>
  <si>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</si>
  <si>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</si>
  <si>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</si>
  <si>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</si>
  <si>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</si>
  <si>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</si>
  <si>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</si>
  <si>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</si>
  <si>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</si>
  <si>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</si>
  <si>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</si>
  <si>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</si>
  <si>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</si>
  <si>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</si>
  <si>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</si>
  <si>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</si>
  <si>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</si>
  <si>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</si>
  <si>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</si>
  <si>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</si>
  <si>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</si>
  <si>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</si>
  <si>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</si>
  <si>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</si>
  <si>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</si>
  <si>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</si>
  <si>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</si>
  <si>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</si>
  <si>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</si>
  <si>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</si>
  <si>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</si>
  <si>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</si>
  <si>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</si>
  <si>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</si>
  <si>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</si>
  <si>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</si>
  <si>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</si>
  <si>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</si>
  <si>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</si>
  <si>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</si>
  <si>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</si>
  <si>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</si>
  <si>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</si>
  <si>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</si>
  <si>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</si>
  <si>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</si>
  <si>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</si>
  <si>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</si>
  <si>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</si>
  <si>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</si>
  <si>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</si>
  <si>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</si>
  <si>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</si>
  <si>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</si>
  <si>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</si>
  <si>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</si>
  <si>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</si>
  <si>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</si>
  <si>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</si>
  <si>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</si>
  <si>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</si>
  <si>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</si>
  <si>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</si>
  <si>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</si>
  <si>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</si>
  <si>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</si>
  <si>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</si>
  <si>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</si>
  <si>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</si>
  <si>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</si>
  <si>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</si>
  <si>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</si>
  <si>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</si>
  <si>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</si>
  <si>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</si>
  <si>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</si>
  <si>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</si>
  <si>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</si>
  <si>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</si>
  <si>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</si>
  <si>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</si>
  <si>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</si>
  <si>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</si>
  <si>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</si>
  <si>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</si>
  <si>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</si>
  <si>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</si>
  <si>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</si>
  <si>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</si>
  <si>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</si>
  <si>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</si>
  <si>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</si>
  <si>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</si>
  <si>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</si>
  <si>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</si>
  <si>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</si>
  <si>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</si>
  <si>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</si>
  <si>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</si>
  <si>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</si>
  <si>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</si>
  <si>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</si>
  <si>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</si>
  <si>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</si>
  <si>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</si>
  <si>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</si>
  <si>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</si>
  <si>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</si>
  <si>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</si>
  <si>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</si>
  <si>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</si>
  <si>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</si>
  <si>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</si>
  <si>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</si>
  <si>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</si>
  <si>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</si>
  <si>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</si>
  <si>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</si>
  <si>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</si>
  <si>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</si>
  <si>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</si>
  <si>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</si>
  <si>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</si>
  <si>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</si>
  <si>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</si>
  <si>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</si>
  <si>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</si>
  <si>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</si>
  <si>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</si>
  <si>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</si>
  <si>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</si>
  <si>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</si>
  <si>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</si>
  <si>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</si>
  <si>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</si>
  <si>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</si>
  <si>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</si>
  <si>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</si>
  <si>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</si>
  <si>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</si>
  <si>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</si>
  <si>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</si>
  <si>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</si>
  <si>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</si>
  <si>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</si>
  <si>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</si>
  <si>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</si>
  <si>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</si>
  <si>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</si>
  <si>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</si>
  <si>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</si>
  <si>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</si>
  <si>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</si>
  <si>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</si>
  <si>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</si>
  <si>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</si>
  <si>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</si>
  <si>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</si>
  <si>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</si>
  <si>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</si>
  <si>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</si>
  <si>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</si>
  <si>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</si>
  <si>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</si>
  <si>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</si>
  <si>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</si>
  <si>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</si>
  <si>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</si>
  <si>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</si>
  <si>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</si>
  <si>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</si>
  <si>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</si>
  <si>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</si>
  <si>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</si>
  <si>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</si>
  <si>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</si>
  <si>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</si>
  <si>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</si>
  <si>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</si>
  <si>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</si>
  <si>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</si>
  <si>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</si>
  <si>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</si>
  <si>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</si>
  <si>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</si>
  <si>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</si>
  <si>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</si>
  <si>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</si>
  <si>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</si>
  <si>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</si>
  <si>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</si>
  <si>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</si>
  <si>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</si>
  <si>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</si>
  <si>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</si>
  <si>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</si>
  <si>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</si>
  <si>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</si>
  <si>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</si>
  <si>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</si>
  <si>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</si>
  <si>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</si>
  <si>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</si>
  <si>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</si>
  <si>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</si>
  <si>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</si>
  <si>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</si>
  <si>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</si>
  <si>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</si>
  <si>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</si>
  <si>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</si>
  <si>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</si>
  <si>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</si>
  <si>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</si>
  <si>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</si>
  <si>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</si>
  <si>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</si>
  <si>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</si>
  <si>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</si>
  <si>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</si>
  <si>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</si>
  <si>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</si>
  <si>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</si>
  <si>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</si>
  <si>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</si>
  <si>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</si>
  <si>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</si>
  <si>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</si>
  <si>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</si>
  <si>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</si>
  <si>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</si>
  <si>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</si>
  <si>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</si>
  <si>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</si>
  <si>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</si>
  <si>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</si>
  <si>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</si>
  <si>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</si>
  <si>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</si>
  <si>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</si>
  <si>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</si>
  <si>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</si>
  <si>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</si>
  <si>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</si>
  <si>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</si>
  <si>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</si>
  <si>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</si>
  <si>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</si>
  <si>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</si>
  <si>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</si>
  <si>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</si>
  <si>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</si>
  <si>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</si>
  <si>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</si>
  <si>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</si>
  <si>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</si>
  <si>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</si>
  <si>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</si>
  <si>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</si>
  <si>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</si>
  <si>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</si>
  <si>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</si>
  <si>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</si>
  <si>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</si>
  <si>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</si>
  <si>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</si>
  <si>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</si>
  <si>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</si>
  <si>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</si>
  <si>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</si>
  <si>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</si>
  <si>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</si>
  <si>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</si>
  <si>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</si>
  <si>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</si>
  <si>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</si>
  <si>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</si>
  <si>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</si>
  <si>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</si>
  <si>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</si>
  <si>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</si>
  <si>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</si>
  <si>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</si>
  <si>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</si>
  <si>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</si>
  <si>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</si>
  <si>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</si>
  <si>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</si>
  <si>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</si>
  <si>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</si>
  <si>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</si>
  <si>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</si>
  <si>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</si>
  <si>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</si>
  <si>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</si>
  <si>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</si>
  <si>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</si>
  <si>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</si>
  <si>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</si>
  <si>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</si>
  <si>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</si>
  <si>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</si>
  <si>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</si>
  <si>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</si>
  <si>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</si>
  <si>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</si>
  <si>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</si>
  <si>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</si>
  <si>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</si>
  <si>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</si>
  <si>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</si>
  <si>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</si>
  <si>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</si>
  <si>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</si>
  <si>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</si>
  <si>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</si>
  <si>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</si>
  <si>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</si>
  <si>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</si>
  <si>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</si>
  <si>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</si>
  <si>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</si>
  <si>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</si>
  <si>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</si>
  <si>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</si>
  <si>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</si>
  <si>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</si>
  <si>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</si>
  <si>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</si>
  <si>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</si>
  <si>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</si>
  <si>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</si>
  <si>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</si>
  <si>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</si>
  <si>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</si>
  <si>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</si>
  <si>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</si>
  <si>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</si>
  <si>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</si>
  <si>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</si>
  <si>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</si>
  <si>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</si>
  <si>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</si>
  <si>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</si>
  <si>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</si>
  <si>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</si>
  <si>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</si>
  <si>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</si>
  <si>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</si>
  <si>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</si>
  <si>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</si>
  <si>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</si>
  <si>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</si>
  <si>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</si>
  <si>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</si>
  <si>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</si>
  <si>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</si>
  <si>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</si>
  <si>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</si>
  <si>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</si>
  <si>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</si>
  <si>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</si>
  <si>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</si>
  <si>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</si>
  <si>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</si>
  <si>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</si>
  <si>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</si>
  <si>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</si>
  <si>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</si>
  <si>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</si>
  <si>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</si>
  <si>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</si>
  <si>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</si>
  <si>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</si>
  <si>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</si>
  <si>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</si>
  <si>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</si>
  <si>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</si>
  <si>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</si>
  <si>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</si>
  <si>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</si>
  <si>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</si>
  <si>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</si>
  <si>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</si>
  <si>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</si>
  <si>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</si>
  <si>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</si>
  <si>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</si>
  <si>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</si>
  <si>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</si>
  <si>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</si>
  <si>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</si>
  <si>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</si>
  <si>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</si>
  <si>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</si>
  <si>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</si>
  <si>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</si>
  <si>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</si>
  <si>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</si>
  <si>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</si>
  <si>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</si>
  <si>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</si>
  <si>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</si>
  <si>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</si>
  <si>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</si>
  <si>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</si>
  <si>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</si>
  <si>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</si>
  <si>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</si>
  <si>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</si>
  <si>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</si>
  <si>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</si>
  <si>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</si>
  <si>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</si>
  <si>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</si>
  <si>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</si>
  <si>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</si>
  <si>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</si>
  <si>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</si>
  <si>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</si>
  <si>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</si>
  <si>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</si>
  <si>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</si>
  <si>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</si>
  <si>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</si>
  <si>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</si>
  <si>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</si>
  <si>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</si>
  <si>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</si>
  <si>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</si>
  <si>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</si>
  <si>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</si>
  <si>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</si>
  <si>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</si>
  <si>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</si>
  <si>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</si>
  <si>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</si>
  <si>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</si>
  <si>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</si>
  <si>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</si>
  <si>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</si>
  <si>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</si>
  <si>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</si>
  <si>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</si>
  <si>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</si>
  <si>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</si>
  <si>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</si>
  <si>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</si>
  <si>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</si>
  <si>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</si>
  <si>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</si>
  <si>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</si>
  <si>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</si>
  <si>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</si>
  <si>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</si>
  <si>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</si>
  <si>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</si>
  <si>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</si>
  <si>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</si>
  <si>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</si>
  <si>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</si>
  <si>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</si>
  <si>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</si>
  <si>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</si>
  <si>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</si>
  <si>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</si>
  <si>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</si>
  <si>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</si>
  <si>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</si>
  <si>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</si>
  <si>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</si>
  <si>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</si>
  <si>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</si>
  <si>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</si>
  <si>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</si>
  <si>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</si>
  <si>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</si>
  <si>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</si>
  <si>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</si>
  <si>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</si>
  <si>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</si>
  <si>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</si>
  <si>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</si>
  <si>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</si>
  <si>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</si>
  <si>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</si>
  <si>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</si>
  <si>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</si>
  <si>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</si>
  <si>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</si>
  <si>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</si>
  <si>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</si>
  <si>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</si>
  <si>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</si>
  <si>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</si>
  <si>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</si>
  <si>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</si>
  <si>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</si>
  <si>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</si>
  <si>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</si>
  <si>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</si>
  <si>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</si>
  <si>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</si>
  <si>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</si>
  <si>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</si>
  <si>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</si>
  <si>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</si>
  <si>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</si>
  <si>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</si>
  <si>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</si>
  <si>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</si>
  <si>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</si>
  <si>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</si>
  <si>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</si>
  <si>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</si>
  <si>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</si>
  <si>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</si>
  <si>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</si>
  <si>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</si>
  <si>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</si>
  <si>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</si>
  <si>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</si>
  <si>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</si>
  <si>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</si>
  <si>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</si>
  <si>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</si>
  <si>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</si>
  <si>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</si>
  <si>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</si>
  <si>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</si>
  <si>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</si>
  <si>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</si>
  <si>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</si>
  <si>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</si>
  <si>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</si>
  <si>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</si>
  <si>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</si>
  <si>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</si>
  <si>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</si>
  <si>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</si>
  <si>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</si>
  <si>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</si>
  <si>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</si>
  <si>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</si>
  <si>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</si>
  <si>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</si>
  <si>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</si>
  <si>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</si>
  <si>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</si>
  <si>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</si>
  <si>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</si>
  <si>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</si>
  <si>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</si>
  <si>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</si>
  <si>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</si>
  <si>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</si>
  <si>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</si>
  <si>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</si>
  <si>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</si>
  <si>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</si>
  <si>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</si>
  <si>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</si>
  <si>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</si>
  <si>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</si>
  <si>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</si>
  <si>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</si>
  <si>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</si>
  <si>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</si>
  <si>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</si>
  <si>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</si>
  <si>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</si>
  <si>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</si>
  <si>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</si>
  <si>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</si>
  <si>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</si>
  <si>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</si>
  <si>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</si>
  <si>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</si>
  <si>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</si>
  <si>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</si>
  <si>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</si>
  <si>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</si>
  <si>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</si>
  <si>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</si>
  <si>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</si>
  <si>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</si>
  <si>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</si>
  <si>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</si>
  <si>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</si>
  <si>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</si>
  <si>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</si>
  <si>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</si>
  <si>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</si>
  <si>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</si>
  <si>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</si>
  <si>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</si>
  <si>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</si>
  <si>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</si>
  <si>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</si>
  <si>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</si>
  <si>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</si>
  <si>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</si>
  <si>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</si>
  <si>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</si>
  <si>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</si>
  <si>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</si>
  <si>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</si>
  <si>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</si>
  <si>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</si>
  <si>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</si>
  <si>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</si>
  <si>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</si>
  <si>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</si>
  <si>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</si>
  <si>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</si>
  <si>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</si>
  <si>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</si>
  <si>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</si>
  <si>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</si>
  <si>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</si>
  <si>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</si>
  <si>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</si>
  <si>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</si>
  <si>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</si>
  <si>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</si>
  <si>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</si>
  <si>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</si>
  <si>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</si>
  <si>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</si>
  <si>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</si>
  <si>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</si>
  <si>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</si>
  <si>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</si>
  <si>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</si>
  <si>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</si>
  <si>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</si>
  <si>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</si>
  <si>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</si>
  <si>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</si>
  <si>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</si>
  <si>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</si>
  <si>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</si>
  <si>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</si>
  <si>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</si>
  <si>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</si>
  <si>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</si>
  <si>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</si>
  <si>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</si>
  <si>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</si>
  <si>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</si>
  <si>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</si>
  <si>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</si>
  <si>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</si>
  <si>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</si>
  <si>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</si>
  <si>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</si>
  <si>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</si>
  <si>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</si>
  <si>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</si>
  <si>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</si>
  <si>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</si>
  <si>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</si>
  <si>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</si>
  <si>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</si>
  <si>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</si>
  <si>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</si>
  <si>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</si>
  <si>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</si>
  <si>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</si>
  <si>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</si>
  <si>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</si>
  <si>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</si>
  <si>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</si>
  <si>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</si>
  <si>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</si>
  <si>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</si>
  <si>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</si>
  <si>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</si>
  <si>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</si>
  <si>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</si>
  <si>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</si>
  <si>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</si>
  <si>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</si>
  <si>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</si>
  <si>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</si>
  <si>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</si>
  <si>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</si>
  <si>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</si>
  <si>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</si>
  <si>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</si>
  <si>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</si>
  <si>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</si>
  <si>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</si>
  <si>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</si>
  <si>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</si>
  <si>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</si>
  <si>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</si>
  <si>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</si>
  <si>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</si>
  <si>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</si>
  <si>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</si>
  <si>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</si>
  <si>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</si>
  <si>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</si>
  <si>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</si>
  <si>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</si>
  <si>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</si>
  <si>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</si>
  <si>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</si>
  <si>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</si>
  <si>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</si>
  <si>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</si>
  <si>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</si>
  <si>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</si>
  <si>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</si>
  <si>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</si>
  <si>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</si>
  <si>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</si>
  <si>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</si>
  <si>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</si>
  <si>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</si>
  <si>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</si>
  <si>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</si>
  <si>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</si>
  <si>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</si>
  <si>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</si>
  <si>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</si>
  <si>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</si>
  <si>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</si>
  <si>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</si>
  <si>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</si>
  <si>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</si>
  <si>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</si>
  <si>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</si>
  <si>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</si>
  <si>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</si>
  <si>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</si>
  <si>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</si>
  <si>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</si>
  <si>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</si>
  <si>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</si>
  <si>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</si>
  <si>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</si>
  <si>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</si>
  <si>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</si>
  <si>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</si>
  <si>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</si>
  <si>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</si>
  <si>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</si>
  <si>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</si>
  <si>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</si>
  <si>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</si>
  <si>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</si>
  <si>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</si>
  <si>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</si>
  <si>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</si>
  <si>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</si>
  <si>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</si>
  <si>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</si>
  <si>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</si>
  <si>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</si>
  <si>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</si>
  <si>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</si>
  <si>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</si>
  <si>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</si>
  <si>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</si>
  <si>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</si>
  <si>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</si>
  <si>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</si>
  <si>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</si>
  <si>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</si>
  <si>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</si>
  <si>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</si>
  <si>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</si>
  <si>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</si>
  <si>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</si>
  <si>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</si>
  <si>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</si>
  <si>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</si>
  <si>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</si>
  <si>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</si>
  <si>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</si>
  <si>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</si>
  <si>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</si>
  <si>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</si>
  <si>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</si>
  <si>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</si>
  <si>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</si>
  <si>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</si>
  <si>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</si>
  <si>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</si>
  <si>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</si>
  <si>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</si>
  <si>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</si>
  <si>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</si>
  <si>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</si>
  <si>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</si>
  <si>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</si>
  <si>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</si>
  <si>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</si>
  <si>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</si>
  <si>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</si>
  <si>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</si>
  <si>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</si>
  <si>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</si>
  <si>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</si>
  <si>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</si>
  <si>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</si>
  <si>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</si>
  <si>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</si>
  <si>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</si>
  <si>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</si>
  <si>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</si>
  <si>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</si>
  <si>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</si>
  <si>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</si>
  <si>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</si>
  <si>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</si>
  <si>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</si>
  <si>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</si>
  <si>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</si>
  <si>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</si>
  <si>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</si>
  <si>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</si>
  <si>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</si>
  <si>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</si>
  <si>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</si>
  <si>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</si>
  <si>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</si>
  <si>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</si>
  <si>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</si>
  <si>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</si>
  <si>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</si>
  <si>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</si>
  <si>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</si>
  <si>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</si>
  <si>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</si>
  <si>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</si>
  <si>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</si>
  <si>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</si>
  <si>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</si>
  <si>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</si>
  <si>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</si>
  <si>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</si>
  <si>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</si>
  <si>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</si>
  <si>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</si>
  <si>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</si>
  <si>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</si>
  <si>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</si>
  <si>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</si>
  <si>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</si>
  <si>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</si>
  <si>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</si>
  <si>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</si>
  <si>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</si>
  <si>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</si>
  <si>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</si>
  <si>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</si>
  <si>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</si>
  <si>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</si>
  <si>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</si>
  <si>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</si>
  <si>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</si>
  <si>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</si>
  <si>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</si>
  <si>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</si>
  <si>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</si>
  <si>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</si>
  <si>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</si>
  <si>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</si>
  <si>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</si>
  <si>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</si>
  <si>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</si>
  <si>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</si>
  <si>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</si>
  <si>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</si>
  <si>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</si>
  <si>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</si>
  <si>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</si>
  <si>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</si>
  <si>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</si>
  <si>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</si>
  <si>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</si>
  <si>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</si>
  <si>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</si>
  <si>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</si>
  <si>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</si>
  <si>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</si>
  <si>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</si>
  <si>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</si>
  <si>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</si>
  <si>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</si>
  <si>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</si>
  <si>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</si>
  <si>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</si>
  <si>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</si>
  <si>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</si>
  <si>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</si>
  <si>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</si>
  <si>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</si>
  <si>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</si>
  <si>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</si>
  <si>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</si>
  <si>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</si>
  <si>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</si>
  <si>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</si>
  <si>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</si>
  <si>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</si>
  <si>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</si>
  <si>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</si>
  <si>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</si>
  <si>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</si>
  <si>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</si>
  <si>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</si>
  <si>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</si>
  <si>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</si>
  <si>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</si>
  <si>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</si>
  <si>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</si>
  <si>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</si>
  <si>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</si>
  <si>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</si>
  <si>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</si>
  <si>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</si>
  <si>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</si>
  <si>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</si>
  <si>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</si>
  <si>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</si>
  <si>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</si>
  <si>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</si>
  <si>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</si>
  <si>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</si>
  <si>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</si>
  <si>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</si>
  <si>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</si>
  <si>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</si>
  <si>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</si>
  <si>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</si>
  <si>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</si>
  <si>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</si>
  <si>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</si>
  <si>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</si>
  <si>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</si>
  <si>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</si>
  <si>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</si>
  <si>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</si>
  <si>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</si>
  <si>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</si>
  <si>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</si>
  <si>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</si>
  <si>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</si>
  <si>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</si>
  <si>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</si>
  <si>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</si>
  <si>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</si>
  <si>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</si>
  <si>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</si>
  <si>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</si>
  <si>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</si>
  <si>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</si>
  <si>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</si>
  <si>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</si>
  <si>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</si>
  <si>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</si>
  <si>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</si>
  <si>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</si>
  <si>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</si>
  <si>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</si>
  <si>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</si>
  <si>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</si>
  <si>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</si>
  <si>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</si>
  <si>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</si>
  <si>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</si>
  <si>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</si>
  <si>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</si>
  <si>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</si>
  <si>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</si>
  <si>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</si>
  <si>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</si>
  <si>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</si>
  <si>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</si>
  <si>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</si>
  <si>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</si>
  <si>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</si>
  <si>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</si>
  <si>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</si>
  <si>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</si>
  <si>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</si>
  <si>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</si>
  <si>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</si>
  <si>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</si>
  <si>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</si>
  <si>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</si>
  <si>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</si>
  <si>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</si>
  <si>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</si>
  <si>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</si>
  <si>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</si>
  <si>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</si>
  <si>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</si>
  <si>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</si>
  <si>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</si>
  <si>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</si>
  <si>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</si>
  <si>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</si>
  <si>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</si>
  <si>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</si>
  <si>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</si>
  <si>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</si>
  <si>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</si>
  <si>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</si>
  <si>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</si>
  <si>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</si>
  <si>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</si>
  <si>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</si>
  <si>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</si>
  <si>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</si>
  <si>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</si>
  <si>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</si>
  <si>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</si>
  <si>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</si>
  <si>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</si>
  <si>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</si>
  <si>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</si>
  <si>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</si>
  <si>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</si>
  <si>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</si>
  <si>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</si>
  <si>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</si>
  <si>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</si>
  <si>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</si>
  <si>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</si>
  <si>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</si>
  <si>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</si>
  <si>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</si>
  <si>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</si>
  <si>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</si>
  <si>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</si>
  <si>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</si>
  <si>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</si>
  <si>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</si>
  <si>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</si>
  <si>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</si>
  <si>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</si>
  <si>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</si>
  <si>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</si>
  <si>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</si>
  <si>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</si>
  <si>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</si>
  <si>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</si>
  <si>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</si>
  <si>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</si>
  <si>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</si>
  <si>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</si>
  <si>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</si>
  <si>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</si>
  <si>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</si>
  <si>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</si>
  <si>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</si>
  <si>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</si>
  <si>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</si>
  <si>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</si>
  <si>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</si>
  <si>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</si>
  <si>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</si>
  <si>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</si>
  <si>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</si>
  <si>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</si>
  <si>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</si>
  <si>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</si>
  <si>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</si>
  <si>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</si>
  <si>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</si>
  <si>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</si>
  <si>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</si>
  <si>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</si>
  <si>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</si>
  <si>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</si>
  <si>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</si>
  <si>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</si>
  <si>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</si>
  <si>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</si>
  <si>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</si>
  <si>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</si>
  <si>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</si>
  <si>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</si>
  <si>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</si>
  <si>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</si>
  <si>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</si>
  <si>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</si>
  <si>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</si>
  <si>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</si>
  <si>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</si>
  <si>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</si>
  <si>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</si>
  <si>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</si>
  <si>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</si>
  <si>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</si>
  <si>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</si>
  <si>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</si>
  <si>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</si>
  <si>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</si>
  <si>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</si>
  <si>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</si>
  <si>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</si>
  <si>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</si>
  <si>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</si>
  <si>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</si>
  <si>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</si>
  <si>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</si>
  <si>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</si>
  <si>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</si>
  <si>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</si>
  <si>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</si>
  <si>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</si>
  <si>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</si>
  <si>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</si>
  <si>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</si>
  <si>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</si>
  <si>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</si>
  <si>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</si>
  <si>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</si>
  <si>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</si>
  <si>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</si>
  <si>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</si>
  <si>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</si>
  <si>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</si>
  <si>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</si>
  <si>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</si>
  <si>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</si>
  <si>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</si>
  <si>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</si>
  <si>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</si>
  <si>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</si>
  <si>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</si>
  <si>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</si>
  <si>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</si>
  <si>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</si>
  <si>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</si>
  <si>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</si>
  <si>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</si>
  <si>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</si>
  <si>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</si>
  <si>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</si>
  <si>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</si>
  <si>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</si>
  <si>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</si>
  <si>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</si>
  <si>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</si>
  <si>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</si>
  <si>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</si>
  <si>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</si>
  <si>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</si>
  <si>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</si>
  <si>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</si>
  <si>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</si>
  <si>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</si>
  <si>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</si>
  <si>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</si>
  <si>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</si>
  <si>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</si>
  <si>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</si>
  <si>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</si>
  <si>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</si>
  <si>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</si>
  <si>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</si>
  <si>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</si>
  <si>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</si>
  <si>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</si>
  <si>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</si>
  <si>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</si>
  <si>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</si>
  <si>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</si>
  <si>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</si>
  <si>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</si>
  <si>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</si>
  <si>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</si>
  <si>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</si>
  <si>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</si>
  <si>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</si>
  <si>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</si>
  <si>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</si>
  <si>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</si>
  <si>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</si>
  <si>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</si>
  <si>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</si>
  <si>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</si>
  <si>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</si>
  <si>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</si>
  <si>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</si>
  <si>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</si>
  <si>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</si>
  <si>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</si>
  <si>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</si>
  <si>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</si>
  <si>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</si>
  <si>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</si>
  <si>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</si>
  <si>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</si>
  <si>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</si>
  <si>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</si>
  <si>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</si>
  <si>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</si>
  <si>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</si>
  <si>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</si>
  <si>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</si>
  <si>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</si>
  <si>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</si>
  <si>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</si>
  <si>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</si>
  <si>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</si>
  <si>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</si>
  <si>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</si>
  <si>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</si>
  <si>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</si>
  <si>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</si>
  <si>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</si>
  <si>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</si>
  <si>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</si>
  <si>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</si>
  <si>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</si>
  <si>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</si>
  <si>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</si>
  <si>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</si>
  <si>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</si>
  <si>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</si>
  <si>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</si>
  <si>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</si>
  <si>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</si>
  <si>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</si>
  <si>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</si>
  <si>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</si>
  <si>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</si>
  <si>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</si>
  <si>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</si>
  <si>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</si>
  <si>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</si>
  <si>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</si>
  <si>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</si>
  <si>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</si>
  <si>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</si>
  <si>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</si>
  <si>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</si>
  <si>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</si>
  <si>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</si>
  <si>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</si>
  <si>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</si>
  <si>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</si>
  <si>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</si>
  <si>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</si>
  <si>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</si>
  <si>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</si>
  <si>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</si>
  <si>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</si>
  <si>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</si>
  <si>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</si>
  <si>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</si>
  <si>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</si>
  <si>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</si>
  <si>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</si>
  <si>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</si>
  <si>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</si>
  <si>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</si>
  <si>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</si>
  <si>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</si>
  <si>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</si>
  <si>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</si>
  <si>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</si>
  <si>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</si>
  <si>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</si>
  <si>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</si>
  <si>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</si>
  <si>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</si>
  <si>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</si>
  <si>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</si>
  <si>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</si>
  <si>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</si>
  <si>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</si>
  <si>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</si>
  <si>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</si>
  <si>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</si>
  <si>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</si>
  <si>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</si>
  <si>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</si>
  <si>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</si>
  <si>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</si>
  <si>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</si>
  <si>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</si>
  <si>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</si>
  <si>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</si>
  <si>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</si>
  <si>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</si>
  <si>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</si>
  <si>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</si>
  <si>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</si>
  <si>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</si>
  <si>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</si>
  <si>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</si>
  <si>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</si>
  <si>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</si>
  <si>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</si>
  <si>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</si>
  <si>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</si>
  <si>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</si>
  <si>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</si>
  <si>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</si>
  <si>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</si>
  <si>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</si>
  <si>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</si>
  <si>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</si>
  <si>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</si>
  <si>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</si>
  <si>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</si>
  <si>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</si>
  <si>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</si>
  <si>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</si>
  <si>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</si>
  <si>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</si>
  <si>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</si>
  <si>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</si>
  <si>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</si>
  <si>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</si>
  <si>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</si>
  <si>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</si>
  <si>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</si>
  <si>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</si>
  <si>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</si>
  <si>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</si>
  <si>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</si>
  <si>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</si>
  <si>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</si>
  <si>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</si>
  <si>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</si>
  <si>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</si>
  <si>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</si>
  <si>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</si>
  <si>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</si>
  <si>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</si>
  <si>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</si>
  <si>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</si>
  <si>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</si>
  <si>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</si>
  <si>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</si>
  <si>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</si>
  <si>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</si>
  <si>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</si>
  <si>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</si>
  <si>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</si>
  <si>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</si>
  <si>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</si>
  <si>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</si>
  <si>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</si>
  <si>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</si>
  <si>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</si>
  <si>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</si>
  <si>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</si>
  <si>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</si>
  <si>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</si>
  <si>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</si>
  <si>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</si>
  <si>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</si>
  <si>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</si>
  <si>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</si>
  <si>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</si>
  <si>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</si>
  <si>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</si>
  <si>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</si>
  <si>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</si>
  <si>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</si>
  <si>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</si>
  <si>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</si>
  <si>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</si>
  <si>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</si>
  <si>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</si>
  <si>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</si>
  <si>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</si>
  <si>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</si>
  <si>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</si>
  <si>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</si>
  <si>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</si>
  <si>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</si>
  <si>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</si>
  <si>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</si>
  <si>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</si>
  <si>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</si>
  <si>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</si>
  <si>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</si>
  <si>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</si>
  <si>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</si>
  <si>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</si>
  <si>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</si>
  <si>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</si>
  <si>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</si>
  <si>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</si>
  <si>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</si>
  <si>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</si>
  <si>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</si>
  <si>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</si>
  <si>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</si>
  <si>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</si>
  <si>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</si>
  <si>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</si>
  <si>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</si>
  <si>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</si>
  <si>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</si>
  <si>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</si>
  <si>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</si>
  <si>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</si>
  <si>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</si>
  <si>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</si>
  <si>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</si>
  <si>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</si>
  <si>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</si>
  <si>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</si>
  <si>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</si>
  <si>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</si>
  <si>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</si>
  <si>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</si>
  <si>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</si>
  <si>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</si>
  <si>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</si>
  <si>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</si>
  <si>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</si>
  <si>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</si>
  <si>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</si>
  <si>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</si>
  <si>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</si>
  <si>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</si>
  <si>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</si>
  <si>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</si>
  <si>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</si>
  <si>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</si>
  <si>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</si>
  <si>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</si>
  <si>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</si>
  <si>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</si>
  <si>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</si>
  <si>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</si>
  <si>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</si>
  <si>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</si>
  <si>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</si>
  <si>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</si>
  <si>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</si>
  <si>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</si>
  <si>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</si>
  <si>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</si>
  <si>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</si>
  <si>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</si>
  <si>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</si>
  <si>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</si>
  <si>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</si>
  <si>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</si>
  <si>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</si>
  <si>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</si>
  <si>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</si>
  <si>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</si>
  <si>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</si>
  <si>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</si>
  <si>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</si>
  <si>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</si>
  <si>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</si>
  <si>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</si>
  <si>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</si>
  <si>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</si>
  <si>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</si>
  <si>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</si>
  <si>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</si>
  <si>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</si>
  <si>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</si>
  <si>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</si>
  <si>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</si>
  <si>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</si>
  <si>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</si>
  <si>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</si>
  <si>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</si>
  <si>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</si>
  <si>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</si>
  <si>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</si>
  <si>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</si>
  <si>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</si>
  <si>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</si>
  <si>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</si>
  <si>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</si>
  <si>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</si>
  <si>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</si>
  <si>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</si>
  <si>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</si>
  <si>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</si>
  <si>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</si>
  <si>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</si>
  <si>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</si>
  <si>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</si>
  <si>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</si>
  <si>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</si>
  <si>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</si>
  <si>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</si>
  <si>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</si>
  <si>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</si>
  <si>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</si>
  <si>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</si>
  <si>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</si>
  <si>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</si>
  <si>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</si>
  <si>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</si>
  <si>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</si>
  <si>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</si>
  <si>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</si>
  <si>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</si>
  <si>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</si>
  <si>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</si>
  <si>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</si>
  <si>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</si>
  <si>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</si>
  <si>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</si>
  <si>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</si>
  <si>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</si>
  <si>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</si>
  <si>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</si>
  <si>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</si>
  <si>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</si>
  <si>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</si>
  <si>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</si>
  <si>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</si>
  <si>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</si>
  <si>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</si>
  <si>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</si>
  <si>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</si>
  <si>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</si>
  <si>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</si>
  <si>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</si>
  <si>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</si>
  <si>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</si>
  <si>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</si>
  <si>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</si>
  <si>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</si>
  <si>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</si>
  <si>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</si>
  <si>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</si>
  <si>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</si>
  <si>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</si>
  <si>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</si>
  <si>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</si>
  <si>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</si>
  <si>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</si>
  <si>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</si>
  <si>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</si>
  <si>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</si>
  <si>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</si>
  <si>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</si>
  <si>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</si>
  <si>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</si>
  <si>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</si>
  <si>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</si>
  <si>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</si>
  <si>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</si>
  <si>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</si>
  <si>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</si>
  <si>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</si>
  <si>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</si>
  <si>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</si>
  <si>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</si>
  <si>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</si>
  <si>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</si>
  <si>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</si>
  <si>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</si>
  <si>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</si>
  <si>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</si>
  <si>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</si>
  <si>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</si>
  <si>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</si>
  <si>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</si>
  <si>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</si>
  <si>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</si>
  <si>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</si>
  <si>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</si>
  <si>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</si>
  <si>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</si>
  <si>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</si>
  <si>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</si>
  <si>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</si>
  <si>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</si>
  <si>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</si>
  <si>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</si>
  <si>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</si>
  <si>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</si>
  <si>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</si>
  <si>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</si>
  <si>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</si>
  <si>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</si>
  <si>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</si>
  <si>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</si>
  <si>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</si>
  <si>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</si>
  <si>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</si>
  <si>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</si>
  <si>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</si>
  <si>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</si>
  <si>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</si>
  <si>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</si>
  <si>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</si>
  <si>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</si>
  <si>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</si>
  <si>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</si>
  <si>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</si>
  <si>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</si>
  <si>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</si>
  <si>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</si>
  <si>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</si>
  <si>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</si>
  <si>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</si>
  <si>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</si>
  <si>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</si>
  <si>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</si>
  <si>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</si>
  <si>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</si>
  <si>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</si>
  <si>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</si>
  <si>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</si>
  <si>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</si>
  <si>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</si>
  <si>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</si>
  <si>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</si>
  <si>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</si>
  <si>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</si>
  <si>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</si>
  <si>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</si>
  <si>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</si>
  <si>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</si>
  <si>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</si>
  <si>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</si>
  <si>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</si>
  <si>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</si>
  <si>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</si>
  <si>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</si>
  <si>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</si>
  <si>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</si>
  <si>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</si>
  <si>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</si>
  <si>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</si>
  <si>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</si>
  <si>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</si>
  <si>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</si>
  <si>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</si>
  <si>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</si>
  <si>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</si>
  <si>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</si>
  <si>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</si>
  <si>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</si>
  <si>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</si>
  <si>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</si>
  <si>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</si>
  <si>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</si>
  <si>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</si>
  <si>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</si>
  <si>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</si>
  <si>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</si>
  <si>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</si>
  <si>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</si>
  <si>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</si>
  <si>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</si>
  <si>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</si>
  <si>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</si>
  <si>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</si>
  <si>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</si>
  <si>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</si>
  <si>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</si>
  <si>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</si>
  <si>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</si>
  <si>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</si>
  <si>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</si>
  <si>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</si>
  <si>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</si>
  <si>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</si>
  <si>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</si>
  <si>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</si>
  <si>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</si>
  <si>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</si>
  <si>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</si>
  <si>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</si>
  <si>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</si>
  <si>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</si>
  <si>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</si>
  <si>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</si>
  <si>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</si>
  <si>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</si>
  <si>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</si>
  <si>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</si>
  <si>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</si>
  <si>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</si>
  <si>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</si>
  <si>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</si>
  <si>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</si>
  <si>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</si>
  <si>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</si>
  <si>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</si>
  <si>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</si>
  <si>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</si>
  <si>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</si>
  <si>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</si>
  <si>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</si>
  <si>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</si>
  <si>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</si>
  <si>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</si>
  <si>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</si>
  <si>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</si>
  <si>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</si>
  <si>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</si>
  <si>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</si>
  <si>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</si>
  <si>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</si>
  <si>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</si>
  <si>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</si>
  <si>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</si>
  <si>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</si>
  <si>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</si>
  <si>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</si>
  <si>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</si>
  <si>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</si>
  <si>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</si>
  <si>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</si>
  <si>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</si>
  <si>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</si>
  <si>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</si>
  <si>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</si>
  <si>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</si>
  <si>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</si>
  <si>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</si>
  <si>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</si>
  <si>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</si>
  <si>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</si>
  <si>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</si>
  <si>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</si>
  <si>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</si>
  <si>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</si>
  <si>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</si>
  <si>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</si>
  <si>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</si>
  <si>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</si>
  <si>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</si>
  <si>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</si>
  <si>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</si>
  <si>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</si>
  <si>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</si>
  <si>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</si>
  <si>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</si>
  <si>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</si>
  <si>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</si>
  <si>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</si>
  <si>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</si>
  <si>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</si>
  <si>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</si>
  <si>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</si>
  <si>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</si>
  <si>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</si>
  <si>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</si>
  <si>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</si>
  <si>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</si>
  <si>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</si>
  <si>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</si>
  <si>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</si>
  <si>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</si>
  <si>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</si>
  <si>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</si>
  <si>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</si>
  <si>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</si>
  <si>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</si>
  <si>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</si>
  <si>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</si>
  <si>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</si>
  <si>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</si>
  <si>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</si>
  <si>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</si>
  <si>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</si>
  <si>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</si>
  <si>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</si>
  <si>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</si>
  <si>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</si>
  <si>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</si>
  <si>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</si>
  <si>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</si>
  <si>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</si>
  <si>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</si>
  <si>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</si>
  <si>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</si>
  <si>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</si>
  <si>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</si>
  <si>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</si>
  <si>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</si>
  <si>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</si>
  <si>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</si>
  <si>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</si>
  <si>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</si>
  <si>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</si>
  <si>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</si>
  <si>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</si>
  <si>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</si>
  <si>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</si>
  <si>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</si>
  <si>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</si>
  <si>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</si>
  <si>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</si>
  <si>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</si>
  <si>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</si>
  <si>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</si>
  <si>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</si>
  <si>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</si>
  <si>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</si>
  <si>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</si>
  <si>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</si>
  <si>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</si>
  <si>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</si>
  <si>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</si>
  <si>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</si>
  <si>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</si>
  <si>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</si>
  <si>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</si>
  <si>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</si>
  <si>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</si>
  <si>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</si>
  <si>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</si>
  <si>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</si>
  <si>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</si>
  <si>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</si>
  <si>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</si>
  <si>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</si>
  <si>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</si>
  <si>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</si>
  <si>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</si>
  <si>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</si>
  <si>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</si>
  <si>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</si>
  <si>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</si>
  <si>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</si>
  <si>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</si>
  <si>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</si>
  <si>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</si>
  <si>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</si>
  <si>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</si>
  <si>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</si>
  <si>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</si>
  <si>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</si>
  <si>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</si>
  <si>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</si>
  <si>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</si>
  <si>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</si>
  <si>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</si>
  <si>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</si>
  <si>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</si>
  <si>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</si>
  <si>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</si>
  <si>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</si>
  <si>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</si>
  <si>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</si>
  <si>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</si>
  <si>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</si>
  <si>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</si>
  <si>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</si>
  <si>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</si>
  <si>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</si>
  <si>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</si>
  <si>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</si>
  <si>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</si>
  <si>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</si>
  <si>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</si>
  <si>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</si>
  <si>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</si>
  <si>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</si>
  <si>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</si>
  <si>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</si>
  <si>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</si>
  <si>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</si>
  <si>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</si>
  <si>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</si>
  <si>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</si>
  <si>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</si>
  <si>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</si>
  <si>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</si>
  <si>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</si>
  <si>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</si>
  <si>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</si>
  <si>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</si>
  <si>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</si>
  <si>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</si>
  <si>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</si>
  <si>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</si>
  <si>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</si>
  <si>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</si>
  <si>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</si>
  <si>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</si>
  <si>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</si>
  <si>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</si>
  <si>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</si>
  <si>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</si>
  <si>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</si>
  <si>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</si>
  <si>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</si>
  <si>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</si>
  <si>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</si>
  <si>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</si>
  <si>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</si>
  <si>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</si>
  <si>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</si>
  <si>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</si>
  <si>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</si>
  <si>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</si>
  <si>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</si>
  <si>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</si>
  <si>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</si>
  <si>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</si>
  <si>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</si>
  <si>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</si>
  <si>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</si>
  <si>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</si>
  <si>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</si>
  <si>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</si>
  <si>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</si>
  <si>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</si>
  <si>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</si>
  <si>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</si>
  <si>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</si>
  <si>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</si>
  <si>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</si>
  <si>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</si>
  <si>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</si>
  <si>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</si>
  <si>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</si>
  <si>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</si>
  <si>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</si>
  <si>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</si>
  <si>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</si>
  <si>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</si>
  <si>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</si>
  <si>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</si>
  <si>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</si>
  <si>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</si>
  <si>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</si>
  <si>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</si>
  <si>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</si>
  <si>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</si>
  <si>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</si>
  <si>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</si>
  <si>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</si>
  <si>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</si>
  <si>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</si>
  <si>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</si>
  <si>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</si>
  <si>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</si>
  <si>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</si>
  <si>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</si>
  <si>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</si>
  <si>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</si>
  <si>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</si>
  <si>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</si>
  <si>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</si>
  <si>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</si>
  <si>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</si>
  <si>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</si>
  <si>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</si>
  <si>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</si>
  <si>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</si>
  <si>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</si>
  <si>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</si>
  <si>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</si>
  <si>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</si>
  <si>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</si>
  <si>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</si>
  <si>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</si>
  <si>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</si>
  <si>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</si>
  <si>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</si>
  <si>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</si>
  <si>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</si>
  <si>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</si>
  <si>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</si>
  <si>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</si>
  <si>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</si>
  <si>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</si>
  <si>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</si>
  <si>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</si>
  <si>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</si>
  <si>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</si>
  <si>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</si>
  <si>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</si>
  <si>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</si>
  <si>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</si>
  <si>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</si>
  <si>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</si>
  <si>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</si>
  <si>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</si>
  <si>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</si>
  <si>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</si>
  <si>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</si>
  <si>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</si>
  <si>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</si>
  <si>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</si>
  <si>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</si>
  <si>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</si>
  <si>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</si>
  <si>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</si>
  <si>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</si>
  <si>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</si>
  <si>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</si>
  <si>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</si>
  <si>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</si>
  <si>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</si>
  <si>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</si>
  <si>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</si>
  <si>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</si>
  <si>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</si>
  <si>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</si>
  <si>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</si>
  <si>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</si>
  <si>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</si>
  <si>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</si>
  <si>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</si>
  <si>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</si>
  <si>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</si>
  <si>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</si>
  <si>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</si>
  <si>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</si>
  <si>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</si>
  <si>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</si>
  <si>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</si>
  <si>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</si>
  <si>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</si>
  <si>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</si>
  <si>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</si>
  <si>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</si>
  <si>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</si>
  <si>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</si>
  <si>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</si>
  <si>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</si>
  <si>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</si>
  <si>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</si>
  <si>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</si>
  <si>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</si>
  <si>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</si>
  <si>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</si>
  <si>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</si>
  <si>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</si>
  <si>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</si>
  <si>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</si>
  <si>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</si>
  <si>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</si>
  <si>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</si>
  <si>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</si>
  <si>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</si>
  <si>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</si>
  <si>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</si>
  <si>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</si>
  <si>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</si>
  <si>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</si>
  <si>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</si>
  <si>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</si>
  <si>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</si>
  <si>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</si>
  <si>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</si>
  <si>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</si>
  <si>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</si>
  <si>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</si>
  <si>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</si>
  <si>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</si>
  <si>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</si>
  <si>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</si>
  <si>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</si>
  <si>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</si>
  <si>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</si>
  <si>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</si>
  <si>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</si>
  <si>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</si>
  <si>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</si>
  <si>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</si>
  <si>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</si>
  <si>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</si>
  <si>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</si>
  <si>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</si>
  <si>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</si>
  <si>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</si>
  <si>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</si>
  <si>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</si>
  <si>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</si>
  <si>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</si>
  <si>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</si>
  <si>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</si>
  <si>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</si>
  <si>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</si>
  <si>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</si>
  <si>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</si>
  <si>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</si>
  <si>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</si>
  <si>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</si>
  <si>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</si>
  <si>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</si>
  <si>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</si>
  <si>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</si>
  <si>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</si>
  <si>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</si>
  <si>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</si>
  <si>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</si>
  <si>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</si>
  <si>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</si>
  <si>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</si>
  <si>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</si>
  <si>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</si>
  <si>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</si>
  <si>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</si>
  <si>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</si>
  <si>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</si>
  <si>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</si>
  <si>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</si>
  <si>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</si>
  <si>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</si>
  <si>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</si>
  <si>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</si>
  <si>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</si>
  <si>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</si>
  <si>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</si>
  <si>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</si>
  <si>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</si>
  <si>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</si>
  <si>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</si>
  <si>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</si>
  <si>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</si>
  <si>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</si>
  <si>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</si>
  <si>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</si>
  <si>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</si>
  <si>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</si>
  <si>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</si>
  <si>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</si>
  <si>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</si>
  <si>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</si>
  <si>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</si>
  <si>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</si>
  <si>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</si>
  <si>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</si>
  <si>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</si>
  <si>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</si>
  <si>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</si>
  <si>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</si>
  <si>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</si>
  <si>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</si>
  <si>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</si>
  <si>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</si>
  <si>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</si>
  <si>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</si>
  <si>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</si>
  <si>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</si>
  <si>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</si>
  <si>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</si>
  <si>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</si>
  <si>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</si>
  <si>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</si>
  <si>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</si>
  <si>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</si>
  <si>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</si>
  <si>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</si>
  <si>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</si>
  <si>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</si>
  <si>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</si>
  <si>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</si>
  <si>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</si>
  <si>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</si>
  <si>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</si>
  <si>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</si>
  <si>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</si>
  <si>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</si>
  <si>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</si>
  <si>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</si>
  <si>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</si>
  <si>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</si>
  <si>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</si>
  <si>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</si>
  <si>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</si>
  <si>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</si>
  <si>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</si>
  <si>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</si>
  <si>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</si>
  <si>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</si>
  <si>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</si>
  <si>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</si>
  <si>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</si>
  <si>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</si>
  <si>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</si>
  <si>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</si>
  <si>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</si>
  <si>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</si>
  <si>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</si>
  <si>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</si>
  <si>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</si>
  <si>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</si>
  <si>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</si>
  <si>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</si>
  <si>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</si>
  <si>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</si>
  <si>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</si>
  <si>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</si>
  <si>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</si>
  <si>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</si>
  <si>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</si>
  <si>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</si>
  <si>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</si>
  <si>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</si>
  <si>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</si>
  <si>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</si>
  <si>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</si>
  <si>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</si>
  <si>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</si>
  <si>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</si>
  <si>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</si>
  <si>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</si>
  <si>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</si>
  <si>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</si>
  <si>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</si>
  <si>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</si>
  <si>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</si>
  <si>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</si>
  <si>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</si>
  <si>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</si>
  <si>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</si>
  <si>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</si>
  <si>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</si>
  <si>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</si>
  <si>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</si>
  <si>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</si>
  <si>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</si>
  <si>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</si>
  <si>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</si>
  <si>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</si>
  <si>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</si>
  <si>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</si>
  <si>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</si>
  <si>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</si>
  <si>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</si>
  <si>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</si>
  <si>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</si>
  <si>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</si>
  <si>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</si>
  <si>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</si>
  <si>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</si>
  <si>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</si>
  <si>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</si>
  <si>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</si>
  <si>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</si>
  <si>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</si>
  <si>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</si>
  <si>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</si>
  <si>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</si>
  <si>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</si>
  <si>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</si>
  <si>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</si>
  <si>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</si>
  <si>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</si>
  <si>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</si>
  <si>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</si>
  <si>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</si>
  <si>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</si>
  <si>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</si>
  <si>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</si>
  <si>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</si>
  <si>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</si>
  <si>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</si>
  <si>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</si>
  <si>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</si>
  <si>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</si>
  <si>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</si>
  <si>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</si>
  <si>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</si>
  <si>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</si>
  <si>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</si>
  <si>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</si>
  <si>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</si>
  <si>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</si>
  <si>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</si>
  <si>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</si>
  <si>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</si>
  <si>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</si>
  <si>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</si>
  <si>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</si>
  <si>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</si>
  <si>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</si>
  <si>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</si>
  <si>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</si>
  <si>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</si>
  <si>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</si>
  <si>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</si>
  <si>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</si>
  <si>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</si>
  <si>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</si>
  <si>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</si>
  <si>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</si>
  <si>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</si>
  <si>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</si>
  <si>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</si>
  <si>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</si>
  <si>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</si>
  <si>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</si>
  <si>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</si>
  <si>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</si>
  <si>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</si>
  <si>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</si>
  <si>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</si>
  <si>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</si>
  <si>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</si>
  <si>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</si>
  <si>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</si>
  <si>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</si>
  <si>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</si>
  <si>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</si>
  <si>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</si>
  <si>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</si>
  <si>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</si>
  <si>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</si>
  <si>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</si>
  <si>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</si>
  <si>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</si>
  <si>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</si>
  <si>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</si>
  <si>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</si>
  <si>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</si>
  <si>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</si>
  <si>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</si>
  <si>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</si>
  <si>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</si>
  <si>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</si>
  <si>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</si>
  <si>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</si>
  <si>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</si>
  <si>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</si>
  <si>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</si>
  <si>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</si>
  <si>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</si>
  <si>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</si>
  <si>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</si>
  <si>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</si>
  <si>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</si>
  <si>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</si>
  <si>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</si>
  <si>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</si>
  <si>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</si>
  <si>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</si>
  <si>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</si>
  <si>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</si>
  <si>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</si>
  <si>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</si>
  <si>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</si>
  <si>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</si>
  <si>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</si>
  <si>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</si>
  <si>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</si>
  <si>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</si>
  <si>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</si>
  <si>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</si>
  <si>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</si>
  <si>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</si>
  <si>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</si>
  <si>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</si>
  <si>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</si>
  <si>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</si>
  <si>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</si>
  <si>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</si>
  <si>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</si>
  <si>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</si>
  <si>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</si>
  <si>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</si>
  <si>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</si>
  <si>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</si>
  <si>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</si>
  <si>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</si>
  <si>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</si>
  <si>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</si>
  <si>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</si>
  <si>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</si>
  <si>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</si>
  <si>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</si>
  <si>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</si>
  <si>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</si>
  <si>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</si>
  <si>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</si>
  <si>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</si>
  <si>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</si>
  <si>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</si>
  <si>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</si>
  <si>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</si>
  <si>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</si>
  <si>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</si>
  <si>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</si>
  <si>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</si>
  <si>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</si>
  <si>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</si>
  <si>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</si>
  <si>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</si>
  <si>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</si>
  <si>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</si>
  <si>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</si>
  <si>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</si>
  <si>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</si>
  <si>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</si>
  <si>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</si>
  <si>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</si>
  <si>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</si>
  <si>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</si>
  <si>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</si>
  <si>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</si>
  <si>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</si>
  <si>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</si>
  <si>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</si>
  <si>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</si>
  <si>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</si>
  <si>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</si>
  <si>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</si>
  <si>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</si>
  <si>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</si>
  <si>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</si>
  <si>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</si>
  <si>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</si>
  <si>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</si>
  <si>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</si>
  <si>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</si>
  <si>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</si>
  <si>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</si>
  <si>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</si>
  <si>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</si>
  <si>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</si>
  <si>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</si>
  <si>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</si>
  <si>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</si>
  <si>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</si>
  <si>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</si>
  <si>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</si>
  <si>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</si>
  <si>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</si>
  <si>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</si>
  <si>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</si>
  <si>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</si>
  <si>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</si>
  <si>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</si>
  <si>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</si>
  <si>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</si>
  <si>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</si>
  <si>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</si>
  <si>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</si>
  <si>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</si>
  <si>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</si>
  <si>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</si>
  <si>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</si>
  <si>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</si>
  <si>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</si>
  <si>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</si>
  <si>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</si>
  <si>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</si>
  <si>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</si>
  <si>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</si>
  <si>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</si>
  <si>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</si>
  <si>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</si>
  <si>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</si>
  <si>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</si>
  <si>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</si>
  <si>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</si>
  <si>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</si>
  <si>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</si>
  <si>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</si>
  <si>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</si>
  <si>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</si>
  <si>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</si>
  <si>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</si>
  <si>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</si>
  <si>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</si>
  <si>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</si>
  <si>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</si>
  <si>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</si>
  <si>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</si>
  <si>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</si>
  <si>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</si>
  <si>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</si>
  <si>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</si>
  <si>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</si>
  <si>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</si>
  <si>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</si>
  <si>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</si>
  <si>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</si>
  <si>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</si>
  <si>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</si>
  <si>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</si>
  <si>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</si>
  <si>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</si>
  <si>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</si>
  <si>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</si>
  <si>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</si>
  <si>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</si>
  <si>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</si>
  <si>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</si>
  <si>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</si>
  <si>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</si>
  <si>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</si>
  <si>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</si>
  <si>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</si>
  <si>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</si>
  <si>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</si>
  <si>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</si>
  <si>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</si>
  <si>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</si>
  <si>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</si>
  <si>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</si>
  <si>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</si>
  <si>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</si>
  <si>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</si>
  <si>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</si>
  <si>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</si>
  <si>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</si>
  <si>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</si>
  <si>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</si>
  <si>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</si>
  <si>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</si>
  <si>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</si>
  <si>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</si>
  <si>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</si>
  <si>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</si>
  <si>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</si>
  <si>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</si>
  <si>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</si>
  <si>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</si>
  <si>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</si>
  <si>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</si>
  <si>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</si>
  <si>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</si>
  <si>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</si>
  <si>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</si>
  <si>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</si>
  <si>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</si>
  <si>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</si>
  <si>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</si>
  <si>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</si>
  <si>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</si>
  <si>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</si>
  <si>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</si>
  <si>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</si>
  <si>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</si>
  <si>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</si>
  <si>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</si>
  <si>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</si>
  <si>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</si>
  <si>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</si>
  <si>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</si>
  <si>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</si>
  <si>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</si>
  <si>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</si>
  <si>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</si>
  <si>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</si>
  <si>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</si>
  <si>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</si>
  <si>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</si>
  <si>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</si>
  <si>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</si>
  <si>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</si>
  <si>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</si>
  <si>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</si>
  <si>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</si>
  <si>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</si>
  <si>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</si>
  <si>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</si>
  <si>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</si>
  <si>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</si>
  <si>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</si>
  <si>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</si>
  <si>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</si>
  <si>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</si>
  <si>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</si>
  <si>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</si>
  <si>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</si>
  <si>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</si>
  <si>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</si>
  <si>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</si>
  <si>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</si>
  <si>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</si>
  <si>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</si>
  <si>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</si>
  <si>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</si>
  <si>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</si>
  <si>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</si>
  <si>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</si>
  <si>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</si>
  <si>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</si>
  <si>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</si>
  <si>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</si>
  <si>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</si>
  <si>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</si>
  <si>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</si>
  <si>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</si>
  <si>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</si>
  <si>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</si>
  <si>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</si>
  <si>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</si>
  <si>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</si>
  <si>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</si>
  <si>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</si>
  <si>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</si>
  <si>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</si>
  <si>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</si>
  <si>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</si>
  <si>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</si>
  <si>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</si>
  <si>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</si>
  <si>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</si>
  <si>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</si>
  <si>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</si>
  <si>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</si>
  <si>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</si>
  <si>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</si>
  <si>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</si>
  <si>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</si>
  <si>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</si>
  <si>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</si>
  <si>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</si>
  <si>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</si>
  <si>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</si>
  <si>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</si>
  <si>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</si>
  <si>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</si>
  <si>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</si>
  <si>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</si>
  <si>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</si>
  <si>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</si>
  <si>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</si>
  <si>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</si>
  <si>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</si>
  <si>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</si>
  <si>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</si>
  <si>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</si>
  <si>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</si>
  <si>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</si>
  <si>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</si>
  <si>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</si>
  <si>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</si>
  <si>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</si>
  <si>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</si>
  <si>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</si>
  <si>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</si>
  <si>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</si>
  <si>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</si>
  <si>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</si>
  <si>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</si>
  <si>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</si>
  <si>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</si>
  <si>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</si>
  <si>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</si>
  <si>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</si>
  <si>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</si>
  <si>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</si>
  <si>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</si>
  <si>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</si>
  <si>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</si>
  <si>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</si>
  <si>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</si>
  <si>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</si>
  <si>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</si>
  <si>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</si>
  <si>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</si>
  <si>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</si>
  <si>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</si>
  <si>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</si>
  <si>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</si>
  <si>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</si>
  <si>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</si>
  <si>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</si>
  <si>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</si>
  <si>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</si>
  <si>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</si>
  <si>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</si>
  <si>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</si>
  <si>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</si>
  <si>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</si>
  <si>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</si>
  <si>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</si>
  <si>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</si>
  <si>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</si>
  <si>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</si>
  <si>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</si>
  <si>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</si>
  <si>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</si>
  <si>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</si>
  <si>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</si>
  <si>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</si>
  <si>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</si>
  <si>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</si>
  <si>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</si>
  <si>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</si>
  <si>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</si>
  <si>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</si>
  <si>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</si>
  <si>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</si>
  <si>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</si>
  <si>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</si>
  <si>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</si>
  <si>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</si>
  <si>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</si>
  <si>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</si>
  <si>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</si>
  <si>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</si>
  <si>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</si>
  <si>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</si>
  <si>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</si>
  <si>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</si>
  <si>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</si>
  <si>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</si>
  <si>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</si>
  <si>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</si>
  <si>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</si>
  <si>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</si>
  <si>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</si>
  <si>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</si>
  <si>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</si>
  <si>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</si>
  <si>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</si>
  <si>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</si>
  <si>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</si>
  <si>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</si>
  <si>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</si>
  <si>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</si>
  <si>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</si>
  <si>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</si>
  <si>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</si>
  <si>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</si>
  <si>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</si>
  <si>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</si>
  <si>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</si>
  <si>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</si>
  <si>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</si>
  <si>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</si>
  <si>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</si>
  <si>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</si>
  <si>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</si>
  <si>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</si>
  <si>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</si>
  <si>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</si>
  <si>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</si>
  <si>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</si>
  <si>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</si>
  <si>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</si>
  <si>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</si>
  <si>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</si>
  <si>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</si>
  <si>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</si>
  <si>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</si>
  <si>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</si>
  <si>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</si>
  <si>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</si>
  <si>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</si>
  <si>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</si>
  <si>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</si>
  <si>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</si>
  <si>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</si>
  <si>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</si>
  <si>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</si>
  <si>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</si>
  <si>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</si>
  <si>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</si>
  <si>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</si>
  <si>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</si>
  <si>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</si>
  <si>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</si>
  <si>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</si>
  <si>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</si>
  <si>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</si>
  <si>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</si>
  <si>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</si>
  <si>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</si>
  <si>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</si>
  <si>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</si>
  <si>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</si>
  <si>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</si>
  <si>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</si>
  <si>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</si>
  <si>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</si>
  <si>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</si>
  <si>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</si>
  <si>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</si>
  <si>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</si>
  <si>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</si>
  <si>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</si>
  <si>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</si>
  <si>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</si>
  <si>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</si>
  <si>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</si>
  <si>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</si>
  <si>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</si>
  <si>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</si>
  <si>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</si>
  <si>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</si>
  <si>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</si>
  <si>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</si>
  <si>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</si>
  <si>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</si>
  <si>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</si>
  <si>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</si>
  <si>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</si>
  <si>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</si>
  <si>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</si>
  <si>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</si>
  <si>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</si>
  <si>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</si>
  <si>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</si>
  <si>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</si>
  <si>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</si>
  <si>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</si>
  <si>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</si>
  <si>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</si>
  <si>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</si>
  <si>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</si>
  <si>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</si>
  <si>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</si>
  <si>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</si>
  <si>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</si>
  <si>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</si>
  <si>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</si>
  <si>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</si>
  <si>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</si>
  <si>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</si>
  <si>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</si>
  <si>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</si>
  <si>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</si>
  <si>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</si>
  <si>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</si>
  <si>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</si>
  <si>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</si>
  <si>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</si>
  <si>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</si>
  <si>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</si>
  <si>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</si>
  <si>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</si>
  <si>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</si>
  <si>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</si>
  <si>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</si>
  <si>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</si>
  <si>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</si>
  <si>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</si>
  <si>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</si>
  <si>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</si>
  <si>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</si>
  <si>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</si>
  <si>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</si>
  <si>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</si>
  <si>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</si>
  <si>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</si>
  <si>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</si>
  <si>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</si>
  <si>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</si>
  <si>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</si>
  <si>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</si>
  <si>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</si>
  <si>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</si>
  <si>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</si>
  <si>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</si>
  <si>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</si>
  <si>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</si>
  <si>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</si>
  <si>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</si>
  <si>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</si>
  <si>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</si>
  <si>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</si>
  <si>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</si>
  <si>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</si>
  <si>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</si>
  <si>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</si>
  <si>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</si>
  <si>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</si>
  <si>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</si>
  <si>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</si>
  <si>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</si>
  <si>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</si>
  <si>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</si>
  <si>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</si>
  <si>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</si>
  <si>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</si>
  <si>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</si>
  <si>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</si>
  <si>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</si>
  <si>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</si>
  <si>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</si>
  <si>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</si>
  <si>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</si>
  <si>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</si>
  <si>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</si>
  <si>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</si>
  <si>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</si>
  <si>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</si>
  <si>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</si>
  <si>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</si>
  <si>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</si>
  <si>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</si>
  <si>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</si>
  <si>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</si>
  <si>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</si>
  <si>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</si>
  <si>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</si>
  <si>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</si>
  <si>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</si>
  <si>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</si>
  <si>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</si>
  <si>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</si>
  <si>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</si>
  <si>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</si>
  <si>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</si>
  <si>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</si>
  <si>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</si>
  <si>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</si>
  <si>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</si>
  <si>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</si>
  <si>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</si>
  <si>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</si>
  <si>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</si>
  <si>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</si>
  <si>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</si>
  <si>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</si>
  <si>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</si>
  <si>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</si>
  <si>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</si>
  <si>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</si>
  <si>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</si>
  <si>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</si>
  <si>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</si>
  <si>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</si>
  <si>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</si>
  <si>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</si>
  <si>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</si>
  <si>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</si>
  <si>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</si>
  <si>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</si>
  <si>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</si>
  <si>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</si>
  <si>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</si>
  <si>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</si>
  <si>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</si>
  <si>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</si>
  <si>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</si>
  <si>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</si>
  <si>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</si>
  <si>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</si>
  <si>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</si>
  <si>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</si>
  <si>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</si>
  <si>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</si>
  <si>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</si>
  <si>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</si>
  <si>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</si>
  <si>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</si>
  <si>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</si>
  <si>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</si>
  <si>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</si>
  <si>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</si>
  <si>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</si>
  <si>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</si>
  <si>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</si>
  <si>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</si>
  <si>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</si>
  <si>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</si>
  <si>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</si>
  <si>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</si>
  <si>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</si>
  <si>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</si>
  <si>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</si>
  <si>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</si>
  <si>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</si>
  <si>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</si>
  <si>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</si>
  <si>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</si>
  <si>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</si>
  <si>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</si>
  <si>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</si>
  <si>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</si>
  <si>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</si>
  <si>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</si>
  <si>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</si>
  <si>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</si>
  <si>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</si>
  <si>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</si>
  <si>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</si>
  <si>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</si>
  <si>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</si>
  <si>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</si>
  <si>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</si>
  <si>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</si>
  <si>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</si>
  <si>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</si>
  <si>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</si>
  <si>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</si>
  <si>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</si>
  <si>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</si>
  <si>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</si>
  <si>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</si>
  <si>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</si>
  <si>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</si>
  <si>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</si>
  <si>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</si>
  <si>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</si>
  <si>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</si>
  <si>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</si>
  <si>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</si>
  <si>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</si>
  <si>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</si>
  <si>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</si>
  <si>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</si>
  <si>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</si>
  <si>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</si>
  <si>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</si>
  <si>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</si>
  <si>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</si>
  <si>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</si>
  <si>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</si>
  <si>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</si>
  <si>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</si>
  <si>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</si>
  <si>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</si>
  <si>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</si>
  <si>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</si>
  <si>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</si>
  <si>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</si>
  <si>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</si>
  <si>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</si>
  <si>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</si>
  <si>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</si>
  <si>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</si>
  <si>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</si>
  <si>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</si>
  <si>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</si>
  <si>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</si>
  <si>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</si>
  <si>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</si>
  <si>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</si>
  <si>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</si>
  <si>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</si>
  <si>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</si>
  <si>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</si>
  <si>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</si>
  <si>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</si>
  <si>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</si>
  <si>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</si>
  <si>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</si>
  <si>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</si>
  <si>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</si>
  <si>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</si>
  <si>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</si>
  <si>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</si>
  <si>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</si>
  <si>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</si>
  <si>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</si>
  <si>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</si>
  <si>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</si>
  <si>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</si>
  <si>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</si>
  <si>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</si>
  <si>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</si>
  <si>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</si>
  <si>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</si>
  <si>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</si>
  <si>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</si>
  <si>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</si>
  <si>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</si>
  <si>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</si>
  <si>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</si>
  <si>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</si>
  <si>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</si>
  <si>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</si>
  <si>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</si>
  <si>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</si>
  <si>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</si>
  <si>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</si>
  <si>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</si>
  <si>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</si>
  <si>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</si>
  <si>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</si>
  <si>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</si>
  <si>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</si>
  <si>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</si>
  <si>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</si>
  <si>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</si>
  <si>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</si>
  <si>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</si>
  <si>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</si>
  <si>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</si>
  <si>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</si>
  <si>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</si>
  <si>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</si>
  <si>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</si>
  <si>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</si>
  <si>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</si>
  <si>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</si>
  <si>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</si>
  <si>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</si>
  <si>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</si>
  <si>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</si>
  <si>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</si>
  <si>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</si>
  <si>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</si>
  <si>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</si>
  <si>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</si>
  <si>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</si>
  <si>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</si>
  <si>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</si>
  <si>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</si>
  <si>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</si>
  <si>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</si>
  <si>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</si>
  <si>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</si>
  <si>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</si>
  <si>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</si>
  <si>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</si>
  <si>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</si>
  <si>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</si>
  <si>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</si>
  <si>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</si>
  <si>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</si>
  <si>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</si>
  <si>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</si>
  <si>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</si>
  <si>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</si>
  <si>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</si>
  <si>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</si>
  <si>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</si>
  <si>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</si>
  <si>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</si>
  <si>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</si>
  <si>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</si>
  <si>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</si>
  <si>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</si>
  <si>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</si>
  <si>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</si>
  <si>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</si>
  <si>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</si>
  <si>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</si>
  <si>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</si>
  <si>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</si>
  <si>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</si>
  <si>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</si>
  <si>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</si>
  <si>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</si>
  <si>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</si>
  <si>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</si>
  <si>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</si>
  <si>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</si>
  <si>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</si>
  <si>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</si>
  <si>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</si>
  <si>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</si>
  <si>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</si>
  <si>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</si>
  <si>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</si>
  <si>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</si>
  <si>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</si>
  <si>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</si>
  <si>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</si>
  <si>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</si>
  <si>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</si>
  <si>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</si>
  <si>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</si>
  <si>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</si>
  <si>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</si>
  <si>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</si>
  <si>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</si>
  <si>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</si>
  <si>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</si>
  <si>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</si>
  <si>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</si>
  <si>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</si>
  <si>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</si>
  <si>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</si>
  <si>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</si>
  <si>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</si>
  <si>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</si>
  <si>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</si>
  <si>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</si>
  <si>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</si>
  <si>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</si>
  <si>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</si>
  <si>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</si>
  <si>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</si>
  <si>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</si>
  <si>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</si>
  <si>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</si>
  <si>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</si>
  <si>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</si>
  <si>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</si>
  <si>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</si>
  <si>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</si>
  <si>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</si>
  <si>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</si>
  <si>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</si>
  <si>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</si>
  <si>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</si>
  <si>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</si>
  <si>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</si>
  <si>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</si>
  <si>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</si>
  <si>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</si>
  <si>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</si>
  <si>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</si>
  <si>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</si>
  <si>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</si>
  <si>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</si>
  <si>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</si>
  <si>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</si>
  <si>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</si>
  <si>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</si>
  <si>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</si>
  <si>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</si>
  <si>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</si>
  <si>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</si>
  <si>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</si>
  <si>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</si>
  <si>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</si>
  <si>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</si>
  <si>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</si>
  <si>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</si>
  <si>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</si>
  <si>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</si>
  <si>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</si>
  <si>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</si>
  <si>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</si>
  <si>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</si>
  <si>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</si>
  <si>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</si>
  <si>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</si>
  <si>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</si>
  <si>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</si>
  <si>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</si>
  <si>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</si>
  <si>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</si>
  <si>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</si>
  <si>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</si>
  <si>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</si>
  <si>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</si>
  <si>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</si>
  <si>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</si>
  <si>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</si>
  <si>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</si>
  <si>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</si>
  <si>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</si>
  <si>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</si>
  <si>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</si>
  <si>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</si>
  <si>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</si>
  <si>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</si>
  <si>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</si>
  <si>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</si>
  <si>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</si>
  <si>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</si>
  <si>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</si>
  <si>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</si>
  <si>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</si>
  <si>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</si>
  <si>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</si>
  <si>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</si>
  <si>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</si>
  <si>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</si>
  <si>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</si>
  <si>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</si>
  <si>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</si>
  <si>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</si>
  <si>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</si>
  <si>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</si>
  <si>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</si>
  <si>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</si>
  <si>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</si>
  <si>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</si>
  <si>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</si>
  <si>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</si>
  <si>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</si>
  <si>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</si>
  <si>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</si>
  <si>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</si>
  <si>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</si>
  <si>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</si>
  <si>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</si>
  <si>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</si>
  <si>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</si>
  <si>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</si>
  <si>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</si>
  <si>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</si>
  <si>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</si>
  <si>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</si>
  <si>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</si>
  <si>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</si>
  <si>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</si>
  <si>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</si>
  <si>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</si>
  <si>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</si>
  <si>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</si>
  <si>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</si>
  <si>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</si>
  <si>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</si>
  <si>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</si>
  <si>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</si>
  <si>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</si>
  <si>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</si>
  <si>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</si>
  <si>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</si>
  <si>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</si>
  <si>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</si>
  <si>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</si>
  <si>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</si>
  <si>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</si>
  <si>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</si>
  <si>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</si>
  <si>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</si>
  <si>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</si>
  <si>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</si>
  <si>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</si>
  <si>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</si>
  <si>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</si>
  <si>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</si>
  <si>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</si>
  <si>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</si>
  <si>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</si>
  <si>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</si>
  <si>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</si>
  <si>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</si>
  <si>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</si>
  <si>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</si>
  <si>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</si>
  <si>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</si>
  <si>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</si>
  <si>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</si>
  <si>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</si>
  <si>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</si>
  <si>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</si>
  <si>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</si>
  <si>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</si>
  <si>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</si>
  <si>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</si>
  <si>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</si>
  <si>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</si>
  <si>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</si>
  <si>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</si>
  <si>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</si>
  <si>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</si>
  <si>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</si>
  <si>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</si>
  <si>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</si>
  <si>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</si>
  <si>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</si>
  <si>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</si>
  <si>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</si>
  <si>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</si>
  <si>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</si>
  <si>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</si>
  <si>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</si>
  <si>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</si>
  <si>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</si>
  <si>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</si>
  <si>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</si>
  <si>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</si>
  <si>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</si>
  <si>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</si>
  <si>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</si>
  <si>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</si>
  <si>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</si>
  <si>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</si>
  <si>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</si>
  <si>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</si>
  <si>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</si>
  <si>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</si>
  <si>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</si>
  <si>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</si>
  <si>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</si>
  <si>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</si>
  <si>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</si>
  <si>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</si>
  <si>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</si>
  <si>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</si>
  <si>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</si>
  <si>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</si>
  <si>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</si>
  <si>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</si>
  <si>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</si>
  <si>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</si>
  <si>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</si>
  <si>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</si>
  <si>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</si>
  <si>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</si>
  <si>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</si>
  <si>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</si>
  <si>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</si>
  <si>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</si>
  <si>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</si>
  <si>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</si>
  <si>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</si>
  <si>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</si>
  <si>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</si>
  <si>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</si>
  <si>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</si>
  <si>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</si>
  <si>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</si>
  <si>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</si>
  <si>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</si>
  <si>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</si>
  <si>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</si>
  <si>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</si>
  <si>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</si>
  <si>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</si>
  <si>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</si>
  <si>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</si>
  <si>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</si>
  <si>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</si>
  <si>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</si>
  <si>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</si>
  <si>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</si>
  <si>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</si>
  <si>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</si>
  <si>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</si>
  <si>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</si>
  <si>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</si>
  <si>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</si>
  <si>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</si>
  <si>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</si>
  <si>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</si>
  <si>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</si>
  <si>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</si>
  <si>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</si>
  <si>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</si>
  <si>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</si>
  <si>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</si>
  <si>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</si>
  <si>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</si>
  <si>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</si>
  <si>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</si>
  <si>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</si>
  <si>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</si>
  <si>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</si>
  <si>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</si>
  <si>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</si>
  <si>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</si>
  <si>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</si>
  <si>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</si>
  <si>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</si>
  <si>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</si>
  <si>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</si>
  <si>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</si>
  <si>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</si>
  <si>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</si>
  <si>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</si>
  <si>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</si>
  <si>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</si>
  <si>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</si>
  <si>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</si>
  <si>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</si>
  <si>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</si>
  <si>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</si>
  <si>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</si>
  <si>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</si>
  <si>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</si>
  <si>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</si>
  <si>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</si>
  <si>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</si>
  <si>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</si>
  <si>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</si>
  <si>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</si>
  <si>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</si>
  <si>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</si>
  <si>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</si>
  <si>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</si>
  <si>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</si>
  <si>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</si>
  <si>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</si>
  <si>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</si>
  <si>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</si>
  <si>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</si>
  <si>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</si>
  <si>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</si>
  <si>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</si>
  <si>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</si>
  <si>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</si>
  <si>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</si>
  <si>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</si>
  <si>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</si>
  <si>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</si>
  <si>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</si>
  <si>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</si>
  <si>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</si>
  <si>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</si>
  <si>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</si>
  <si>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</si>
  <si>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</si>
  <si>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</si>
  <si>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</si>
  <si>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</si>
  <si>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</si>
  <si>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</si>
  <si>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</si>
  <si>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</si>
  <si>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</si>
  <si>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</si>
  <si>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</si>
  <si>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</si>
  <si>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</si>
  <si>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</si>
  <si>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</si>
  <si>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</si>
  <si>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</si>
  <si>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</si>
  <si>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</si>
  <si>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</si>
  <si>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</si>
  <si>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</si>
  <si>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</si>
  <si>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</si>
  <si>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</si>
  <si>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</si>
  <si>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</si>
  <si>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</si>
  <si>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</si>
  <si>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</si>
  <si>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</si>
  <si>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</si>
  <si>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</si>
  <si>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</si>
  <si>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</si>
  <si>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</si>
  <si>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</si>
  <si>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</si>
  <si>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</si>
  <si>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</si>
  <si>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</si>
  <si>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</si>
  <si>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</si>
  <si>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</si>
  <si>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</si>
  <si>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</si>
  <si>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</si>
  <si>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</si>
  <si>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</si>
  <si>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</si>
  <si>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</si>
  <si>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</si>
  <si>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</si>
  <si>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</si>
  <si>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</si>
  <si>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</si>
  <si>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</si>
  <si>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</si>
  <si>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</si>
  <si>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</si>
  <si>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</si>
  <si>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</si>
  <si>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</si>
  <si>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</si>
  <si>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</si>
  <si>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</si>
  <si>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</si>
  <si>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</si>
  <si>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</si>
  <si>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</si>
  <si>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</si>
  <si>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</si>
  <si>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</si>
  <si>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</si>
  <si>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</si>
  <si>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</si>
  <si>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</si>
  <si>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</si>
  <si>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</si>
  <si>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</si>
  <si>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</si>
  <si>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</si>
  <si>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</si>
  <si>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</si>
  <si>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</si>
  <si>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</si>
  <si>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</si>
  <si>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</si>
  <si>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</si>
  <si>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</si>
  <si>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</si>
  <si>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</si>
  <si>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</si>
  <si>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</si>
  <si>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</si>
  <si>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</si>
  <si>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</si>
  <si>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</si>
  <si>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</si>
  <si>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</si>
  <si>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</si>
  <si>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</si>
  <si>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</si>
  <si>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</si>
  <si>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</si>
  <si>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</si>
  <si>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</si>
  <si>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</si>
  <si>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</si>
  <si>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</si>
  <si>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</si>
  <si>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</si>
  <si>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</si>
  <si>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</si>
  <si>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</si>
  <si>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</si>
  <si>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</si>
  <si>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</si>
  <si>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</si>
  <si>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</si>
  <si>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</si>
  <si>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</si>
  <si>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</si>
  <si>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</si>
  <si>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</si>
  <si>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</si>
  <si>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</si>
  <si>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</si>
  <si>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</si>
  <si>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</si>
  <si>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</si>
  <si>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</si>
  <si>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</si>
  <si>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</si>
  <si>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</si>
  <si>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</si>
  <si>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</si>
  <si>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</si>
  <si>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</si>
  <si>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</si>
  <si>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</si>
  <si>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</si>
  <si>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</si>
  <si>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</si>
  <si>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</si>
  <si>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</si>
  <si>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</si>
  <si>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</si>
  <si>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</si>
  <si>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</si>
  <si>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</si>
  <si>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</si>
  <si>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</si>
  <si>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</si>
  <si>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</si>
  <si>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</si>
  <si>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</si>
  <si>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</si>
  <si>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</si>
  <si>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</si>
  <si>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</si>
  <si>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</si>
  <si>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</si>
  <si>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</si>
  <si>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</si>
  <si>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</si>
  <si>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</si>
  <si>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</si>
  <si>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</si>
  <si>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</si>
  <si>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</si>
  <si>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</si>
  <si>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</si>
  <si>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</si>
  <si>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</si>
  <si>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</si>
  <si>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</si>
  <si>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</si>
  <si>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</si>
  <si>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</si>
  <si>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</si>
  <si>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</si>
  <si>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</si>
  <si>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</si>
  <si>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</si>
  <si>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</si>
  <si>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</si>
  <si>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</si>
  <si>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</si>
  <si>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</si>
  <si>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</si>
  <si>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</si>
  <si>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</si>
  <si>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</si>
  <si>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</si>
  <si>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</si>
  <si>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</si>
  <si>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</si>
  <si>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</si>
  <si>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</si>
  <si>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</si>
  <si>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</si>
  <si>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</si>
  <si>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</si>
  <si>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</si>
  <si>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</si>
  <si>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</si>
  <si>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</si>
  <si>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</si>
  <si>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</si>
  <si>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</si>
  <si>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</si>
  <si>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</si>
  <si>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</si>
  <si>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</si>
  <si>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</si>
  <si>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</si>
  <si>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</si>
  <si>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</si>
  <si>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</si>
  <si>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</si>
  <si>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</si>
  <si>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</si>
  <si>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</si>
  <si>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</si>
  <si>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</si>
  <si>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</si>
  <si>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</si>
  <si>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</si>
  <si>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</si>
  <si>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</si>
  <si>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</si>
  <si>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</si>
  <si>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</si>
  <si>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</si>
  <si>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</si>
  <si>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</si>
  <si>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</si>
  <si>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</si>
  <si>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</si>
  <si>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</si>
  <si>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</si>
  <si>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</si>
  <si>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</si>
  <si>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</si>
  <si>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</si>
  <si>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</si>
  <si>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</si>
  <si>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</si>
  <si>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</si>
  <si>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</si>
  <si>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</si>
  <si>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</si>
  <si>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</si>
  <si>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</si>
  <si>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</si>
  <si>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</si>
  <si>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</si>
  <si>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</si>
  <si>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</si>
  <si>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</si>
  <si>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</si>
  <si>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</si>
  <si>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</si>
  <si>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</si>
  <si>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</si>
  <si>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</si>
  <si>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</si>
  <si>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</si>
  <si>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</si>
  <si>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</si>
  <si>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</si>
  <si>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</si>
  <si>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</si>
  <si>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</si>
  <si>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</si>
  <si>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</si>
  <si>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</si>
  <si>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</si>
  <si>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</si>
  <si>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</si>
  <si>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</si>
  <si>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</si>
  <si>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</si>
  <si>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</si>
  <si>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</si>
  <si>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</si>
  <si>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</si>
  <si>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</si>
  <si>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</si>
  <si>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</si>
  <si>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</si>
  <si>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</si>
  <si>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</si>
  <si>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</si>
  <si>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</si>
  <si>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</si>
  <si>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</si>
  <si>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</si>
  <si>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</si>
  <si>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</si>
  <si>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</si>
  <si>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</si>
  <si>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</si>
  <si>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</si>
  <si>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</si>
  <si>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</si>
  <si>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</si>
  <si>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</si>
  <si>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</si>
  <si>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</si>
  <si>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</si>
  <si>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</si>
  <si>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</si>
  <si>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</si>
  <si>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</si>
  <si>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</si>
  <si>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</si>
  <si>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</si>
  <si>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</si>
  <si>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</si>
  <si>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</si>
  <si>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</si>
  <si>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</si>
  <si>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</si>
  <si>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</si>
  <si>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</si>
  <si>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</si>
  <si>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</si>
  <si>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</si>
  <si>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</si>
  <si>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</si>
  <si>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</si>
  <si>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</si>
  <si>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</si>
  <si>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</si>
  <si>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</si>
  <si>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</si>
  <si>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</si>
  <si>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</si>
  <si>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</si>
  <si>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</si>
  <si>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</si>
  <si>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</si>
  <si>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</si>
  <si>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</si>
  <si>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</si>
  <si>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</si>
  <si>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</si>
  <si>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</si>
  <si>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</si>
  <si>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</si>
  <si>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</si>
  <si>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</si>
  <si>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</si>
  <si>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</si>
  <si>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</si>
  <si>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</si>
  <si>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</si>
  <si>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</si>
  <si>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</si>
  <si>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</si>
  <si>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</si>
  <si>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</si>
  <si>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</si>
  <si>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</si>
  <si>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</si>
  <si>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</si>
  <si>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</si>
  <si>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</si>
  <si>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</si>
  <si>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</si>
  <si>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</si>
  <si>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</si>
  <si>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</si>
  <si>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</si>
  <si>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</si>
  <si>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</si>
  <si>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</si>
  <si>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</si>
  <si>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</si>
  <si>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</si>
  <si>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</si>
  <si>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</si>
  <si>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</si>
  <si>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</si>
  <si>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</si>
  <si>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</si>
  <si>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</si>
  <si>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</si>
  <si>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</si>
  <si>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</si>
  <si>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</si>
  <si>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</si>
  <si>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</si>
  <si>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</si>
  <si>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</si>
  <si>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</si>
  <si>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</si>
  <si>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</si>
  <si>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</si>
  <si>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</si>
  <si>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</si>
  <si>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</si>
  <si>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</si>
  <si>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</si>
  <si>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</si>
  <si>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</si>
  <si>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</si>
  <si>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</si>
  <si>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</si>
  <si>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</si>
  <si>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</si>
  <si>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</si>
  <si>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</si>
  <si>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</si>
  <si>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</si>
  <si>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</si>
  <si>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</si>
  <si>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</si>
  <si>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</si>
  <si>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</si>
  <si>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</si>
  <si>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</si>
  <si>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</si>
  <si>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</si>
  <si>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</si>
  <si>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</si>
  <si>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</si>
  <si>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</si>
  <si>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</si>
  <si>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</si>
  <si>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</si>
  <si>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</si>
  <si>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</si>
  <si>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</si>
  <si>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</si>
  <si>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</si>
  <si>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</si>
  <si>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</si>
  <si>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</si>
  <si>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</si>
  <si>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</si>
  <si>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</si>
  <si>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</si>
  <si>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</si>
  <si>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</si>
  <si>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</si>
  <si>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</si>
  <si>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</si>
  <si>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</si>
  <si>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</si>
  <si>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</si>
  <si>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</si>
  <si>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</si>
  <si>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</si>
  <si>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</si>
  <si>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</si>
  <si>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</si>
  <si>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</si>
  <si>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</si>
  <si>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</si>
  <si>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</si>
  <si>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</si>
  <si>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</si>
  <si>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</si>
  <si>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</si>
  <si>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</si>
  <si>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</si>
  <si>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</si>
  <si>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</si>
  <si>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</si>
  <si>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</si>
  <si>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</si>
  <si>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</si>
  <si>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</si>
  <si>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</si>
  <si>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</si>
  <si>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</si>
  <si>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</si>
  <si>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</si>
  <si>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</si>
  <si>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</si>
  <si>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</si>
  <si>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</si>
  <si>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</si>
  <si>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</si>
  <si>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</si>
  <si>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</si>
  <si>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</si>
  <si>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</si>
  <si>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</si>
  <si>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</si>
  <si>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</si>
  <si>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</si>
  <si>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</si>
  <si>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</si>
  <si>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</si>
  <si>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</si>
  <si>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</si>
  <si>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</si>
  <si>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</si>
  <si>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</si>
  <si>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</si>
  <si>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</si>
  <si>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</si>
  <si>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</si>
  <si>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</si>
  <si>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</si>
  <si>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</si>
  <si>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</si>
  <si>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</si>
  <si>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</si>
  <si>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</si>
  <si>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</si>
  <si>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</si>
  <si>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</si>
  <si>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</si>
  <si>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</si>
  <si>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</si>
  <si>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</si>
  <si>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</si>
  <si>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</si>
  <si>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</si>
  <si>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</si>
  <si>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</si>
  <si>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</si>
  <si>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</si>
  <si>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</si>
  <si>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</si>
  <si>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</si>
  <si>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</si>
  <si>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</si>
  <si>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</si>
  <si>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</si>
  <si>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</si>
  <si>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</si>
  <si>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</si>
  <si>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</si>
  <si>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</si>
  <si>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</si>
  <si>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</si>
  <si>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</si>
  <si>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</si>
  <si>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</si>
  <si>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</si>
  <si>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</si>
  <si>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</si>
  <si>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</si>
  <si>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</si>
  <si>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</si>
  <si>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</si>
  <si>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</si>
  <si>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</si>
  <si>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</si>
  <si>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</si>
  <si>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</si>
  <si>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</si>
  <si>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</si>
  <si>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</si>
  <si>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</si>
  <si>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</si>
  <si>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</si>
  <si>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</si>
  <si>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</si>
  <si>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</si>
  <si>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</si>
  <si>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</si>
  <si>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</si>
  <si>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</si>
  <si>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</si>
  <si>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</si>
  <si>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</si>
  <si>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</si>
  <si>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</si>
  <si>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</si>
  <si>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</si>
  <si>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</si>
  <si>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</si>
  <si>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</si>
  <si>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</si>
  <si>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</si>
  <si>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</si>
  <si>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</si>
  <si>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</si>
  <si>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</si>
  <si>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</si>
  <si>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</si>
  <si>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</si>
  <si>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</si>
  <si>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</si>
  <si>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</si>
  <si>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</si>
  <si>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</si>
  <si>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</si>
  <si>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</si>
  <si>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</si>
  <si>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</si>
  <si>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</si>
  <si>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</si>
  <si>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</si>
  <si>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</si>
  <si>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</si>
  <si>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</si>
  <si>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</si>
  <si>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</si>
  <si>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</si>
  <si>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</si>
  <si>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</si>
  <si>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</si>
  <si>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</si>
  <si>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</si>
  <si>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</si>
  <si>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</si>
  <si>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</si>
  <si>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</si>
  <si>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</si>
  <si>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</si>
  <si>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</si>
  <si>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</si>
  <si>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</si>
  <si>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</si>
  <si>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</si>
  <si>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</si>
  <si>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</si>
  <si>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</si>
  <si>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</si>
  <si>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</si>
  <si>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</si>
  <si>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</si>
  <si>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</si>
  <si>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</si>
  <si>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</si>
  <si>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</si>
  <si>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</si>
  <si>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</si>
  <si>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</si>
  <si>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</si>
  <si>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</si>
  <si>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</si>
  <si>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</si>
  <si>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</si>
  <si>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</si>
  <si>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</si>
  <si>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</si>
  <si>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</si>
  <si>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</si>
  <si>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</si>
  <si>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</si>
  <si>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</si>
  <si>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</si>
  <si>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</si>
  <si>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</si>
  <si>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</si>
  <si>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</si>
  <si>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</si>
  <si>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</si>
  <si>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</si>
  <si>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</si>
  <si>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</si>
  <si>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</si>
  <si>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</si>
  <si>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</si>
  <si>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</si>
  <si>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</si>
  <si>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</si>
  <si>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</si>
  <si>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</si>
  <si>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</si>
  <si>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</si>
  <si>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</si>
  <si>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</si>
  <si>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</si>
  <si>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</si>
  <si>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</si>
  <si>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</si>
  <si>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</si>
  <si>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</si>
  <si>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</si>
  <si>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</si>
  <si>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</si>
  <si>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</si>
  <si>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</si>
  <si>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</si>
  <si>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</si>
  <si>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</si>
  <si>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</si>
  <si>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</si>
  <si>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</si>
  <si>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</si>
  <si>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</si>
  <si>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</si>
  <si>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</si>
  <si>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</si>
  <si>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</si>
  <si>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</si>
  <si>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</si>
  <si>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</si>
  <si>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</si>
  <si>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</si>
  <si>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</si>
  <si>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</si>
  <si>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</si>
  <si>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</si>
  <si>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</si>
  <si>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</si>
  <si>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</si>
  <si>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</si>
  <si>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</si>
  <si>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</si>
  <si>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</si>
  <si>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</si>
  <si>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</si>
  <si>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</si>
  <si>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</si>
  <si>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</si>
  <si>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</si>
  <si>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</si>
  <si>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</si>
  <si>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</si>
  <si>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</si>
  <si>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</si>
  <si>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</si>
  <si>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</si>
  <si>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</si>
  <si>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</si>
  <si>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</si>
  <si>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</si>
  <si>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</si>
  <si>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</si>
  <si>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</si>
  <si>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</si>
  <si>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</si>
  <si>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</si>
  <si>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</si>
  <si>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</si>
  <si>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</si>
  <si>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</si>
  <si>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</si>
  <si>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</si>
  <si>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</si>
  <si>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</si>
  <si>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</si>
  <si>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</si>
  <si>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</si>
  <si>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</si>
  <si>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</si>
  <si>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</si>
  <si>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</si>
  <si>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</si>
  <si>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</si>
  <si>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</si>
  <si>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</si>
  <si>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</si>
  <si>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</si>
  <si>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</si>
  <si>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</si>
  <si>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</si>
  <si>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</si>
  <si>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</si>
  <si>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</si>
  <si>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</si>
  <si>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</si>
  <si>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</si>
  <si>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</si>
  <si>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</si>
  <si>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</si>
  <si>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</si>
  <si>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</si>
  <si>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</si>
  <si>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</si>
  <si>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</si>
  <si>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</si>
  <si>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</si>
  <si>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</si>
  <si>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</si>
  <si>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</si>
  <si>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</si>
  <si>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</si>
  <si>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</si>
  <si>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</si>
  <si>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</si>
  <si>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</si>
  <si>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</si>
  <si>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</si>
  <si>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</si>
  <si>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</si>
  <si>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</si>
  <si>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</si>
  <si>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</si>
  <si>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</si>
  <si>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</si>
  <si>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</si>
  <si>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</si>
  <si>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</si>
  <si>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</si>
  <si>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</si>
  <si>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</si>
  <si>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</si>
  <si>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</si>
  <si>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</si>
  <si>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</si>
  <si>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</si>
  <si>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</si>
  <si>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</si>
  <si>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</si>
  <si>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</si>
  <si>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</si>
  <si>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</si>
  <si>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</si>
  <si>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</si>
  <si>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</si>
  <si>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</si>
  <si>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</si>
  <si>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</si>
  <si>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</si>
  <si>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</si>
  <si>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</si>
  <si>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</si>
  <si>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</si>
  <si>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</si>
  <si>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</si>
  <si>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</si>
  <si>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</si>
  <si>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</si>
  <si>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</si>
  <si>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</si>
  <si>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</si>
  <si>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</si>
  <si>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</si>
  <si>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</si>
  <si>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</si>
  <si>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</si>
  <si>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</si>
  <si>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</si>
  <si>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</si>
  <si>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</si>
  <si>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</si>
  <si>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</si>
  <si>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</si>
  <si>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</si>
  <si>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</si>
  <si>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</si>
  <si>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</si>
  <si>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</si>
  <si>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</si>
  <si>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</si>
  <si>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</si>
  <si>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</si>
  <si>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</si>
  <si>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</si>
  <si>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</si>
  <si>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</si>
  <si>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</si>
  <si>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</si>
  <si>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</si>
  <si>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</si>
  <si>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</si>
  <si>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</si>
  <si>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</si>
  <si>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</si>
  <si>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</si>
  <si>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</si>
  <si>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</si>
  <si>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</si>
  <si>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</si>
  <si>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</si>
  <si>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</si>
  <si>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</si>
  <si>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</si>
  <si>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</si>
  <si>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</si>
  <si>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</si>
  <si>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</si>
  <si>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</si>
  <si>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</si>
  <si>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</si>
  <si>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</si>
  <si>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</si>
  <si>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</si>
  <si>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</si>
  <si>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</si>
  <si>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</si>
  <si>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</si>
  <si>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</si>
  <si>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</si>
  <si>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</si>
  <si>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</si>
  <si>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</si>
  <si>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</si>
  <si>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</si>
  <si>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</si>
  <si>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</si>
  <si>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</si>
  <si>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</si>
  <si>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</si>
  <si>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</si>
  <si>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</si>
  <si>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</si>
  <si>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</si>
  <si>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</si>
  <si>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</si>
  <si>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</si>
  <si>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</si>
  <si>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</si>
  <si>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</si>
  <si>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</si>
  <si>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</si>
  <si>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</si>
  <si>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</si>
  <si>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</si>
  <si>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</si>
  <si>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</si>
  <si>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</si>
  <si>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</si>
  <si>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</si>
  <si>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</si>
  <si>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</si>
  <si>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</si>
  <si>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</si>
  <si>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</si>
  <si>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</si>
  <si>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</si>
  <si>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</si>
  <si>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</si>
  <si>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</si>
  <si>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</si>
  <si>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</si>
  <si>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</si>
  <si>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</si>
  <si>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</si>
  <si>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</si>
  <si>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</si>
  <si>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</si>
  <si>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</si>
  <si>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</si>
  <si>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</si>
  <si>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</si>
  <si>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</si>
  <si>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</si>
  <si>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</si>
  <si>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</si>
  <si>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</si>
  <si>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</si>
  <si>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</si>
  <si>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</si>
  <si>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</si>
  <si>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</si>
  <si>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</si>
  <si>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</si>
  <si>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</si>
  <si>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</si>
  <si>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</si>
  <si>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</si>
  <si>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</si>
  <si>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</si>
  <si>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</si>
  <si>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</si>
  <si>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</si>
  <si>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</si>
  <si>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</si>
  <si>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</si>
  <si>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</si>
  <si>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</si>
  <si>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</si>
  <si>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</si>
  <si>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</si>
  <si>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</si>
  <si>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</si>
  <si>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</si>
  <si>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</si>
  <si>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</si>
  <si>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</si>
  <si>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</si>
  <si>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</si>
  <si>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</si>
  <si>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</si>
  <si>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</si>
  <si>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</si>
  <si>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</si>
  <si>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</si>
  <si>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</si>
  <si>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</si>
  <si>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</si>
  <si>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</si>
  <si>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</si>
  <si>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</si>
  <si>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</si>
  <si>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</si>
  <si>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</si>
  <si>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</si>
  <si>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</si>
  <si>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</si>
  <si>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</si>
  <si>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</si>
  <si>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</si>
  <si>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</si>
  <si>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</si>
  <si>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</si>
  <si>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</si>
  <si>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</si>
  <si>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</si>
  <si>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</si>
  <si>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</si>
  <si>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</si>
  <si>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</si>
  <si>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</si>
  <si>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</si>
  <si>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</si>
  <si>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</si>
  <si>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</si>
  <si>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</si>
  <si>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</si>
  <si>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</si>
  <si>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</si>
  <si>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</si>
  <si>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</si>
  <si>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</si>
  <si>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</si>
  <si>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</si>
  <si>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</si>
  <si>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</si>
  <si>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</si>
  <si>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</si>
  <si>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</si>
  <si>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</si>
  <si>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</si>
  <si>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</si>
  <si>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</si>
  <si>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</si>
  <si>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</si>
  <si>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</si>
  <si>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</si>
  <si>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</si>
  <si>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</si>
  <si>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</si>
  <si>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</si>
  <si>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</si>
  <si>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</si>
  <si>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</si>
  <si>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</si>
  <si>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</si>
  <si>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</si>
  <si>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</si>
  <si>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</si>
  <si>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</si>
  <si>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</si>
  <si>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</si>
  <si>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</si>
  <si>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</si>
  <si>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</si>
  <si>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</si>
  <si>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</si>
  <si>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</si>
  <si>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</si>
  <si>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</si>
  <si>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</si>
  <si>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</si>
  <si>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</si>
  <si>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</si>
  <si>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</si>
  <si>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</si>
  <si>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</si>
  <si>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</si>
  <si>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</si>
  <si>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</si>
  <si>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</si>
  <si>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</si>
  <si>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</si>
  <si>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</si>
  <si>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</si>
  <si>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</si>
  <si>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</si>
  <si>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</si>
  <si>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</si>
  <si>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</si>
  <si>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</si>
  <si>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</si>
  <si>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</si>
  <si>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</si>
  <si>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</si>
  <si>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</si>
  <si>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</si>
  <si>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</si>
  <si>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</si>
  <si>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</si>
  <si>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</si>
  <si>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</si>
  <si>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</si>
  <si>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</si>
  <si>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</si>
  <si>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</si>
  <si>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</si>
  <si>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</si>
  <si>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</si>
  <si>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</si>
  <si>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</si>
  <si>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</si>
  <si>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</si>
  <si>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</si>
  <si>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</si>
  <si>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</si>
  <si>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</si>
  <si>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</si>
  <si>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</si>
  <si>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</si>
  <si>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</si>
  <si>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</si>
  <si>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</si>
  <si>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</si>
  <si>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</si>
  <si>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</si>
  <si>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</si>
  <si>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</si>
  <si>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</si>
  <si>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</si>
  <si>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</si>
  <si>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</si>
  <si>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</si>
  <si>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</si>
  <si>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</si>
  <si>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</si>
  <si>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</si>
  <si>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</si>
  <si>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</si>
  <si>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</si>
  <si>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</si>
  <si>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</si>
  <si>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</si>
  <si>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</si>
  <si>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</si>
  <si>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</si>
  <si>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</si>
  <si>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</si>
  <si>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</si>
  <si>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</si>
  <si>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</si>
  <si>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</si>
  <si>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</si>
  <si>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</si>
  <si>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</si>
  <si>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</si>
  <si>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</si>
  <si>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</si>
  <si>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</si>
  <si>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</si>
  <si>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</si>
  <si>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</si>
  <si>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</si>
  <si>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</si>
  <si>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</si>
  <si>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</si>
  <si>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</si>
  <si>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</si>
  <si>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</si>
  <si>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</si>
  <si>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</si>
  <si>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</si>
  <si>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</si>
  <si>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</si>
  <si>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</si>
  <si>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</si>
  <si>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</si>
  <si>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</si>
  <si>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</si>
  <si>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</si>
  <si>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</si>
  <si>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</si>
  <si>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</si>
  <si>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</si>
  <si>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</si>
  <si>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</si>
  <si>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</si>
  <si>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</si>
  <si>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</si>
  <si>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</si>
  <si>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</si>
  <si>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</si>
  <si>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</si>
  <si>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</si>
  <si>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</si>
  <si>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</si>
  <si>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</si>
  <si>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</si>
  <si>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</si>
  <si>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</si>
  <si>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</si>
  <si>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</si>
  <si>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</si>
  <si>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</si>
  <si>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</si>
  <si>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</si>
  <si>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</si>
  <si>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</si>
  <si>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</si>
  <si>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</si>
  <si>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</si>
  <si>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</si>
  <si>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</si>
  <si>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</si>
  <si>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</si>
  <si>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</si>
  <si>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</si>
  <si>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</si>
  <si>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</si>
  <si>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</si>
  <si>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</si>
  <si>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</si>
  <si>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</si>
  <si>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</si>
  <si>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</si>
  <si>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</si>
  <si>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</si>
  <si>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</si>
  <si>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</si>
  <si>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</si>
  <si>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</si>
  <si>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</si>
  <si>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</si>
  <si>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</si>
  <si>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</si>
  <si>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</si>
  <si>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</si>
  <si>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</si>
  <si>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</si>
  <si>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</si>
  <si>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</si>
  <si>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</si>
  <si>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</si>
  <si>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</si>
  <si>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</si>
  <si>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</si>
  <si>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</si>
  <si>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</si>
  <si>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</si>
  <si>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</si>
  <si>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</si>
  <si>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</si>
  <si>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</si>
  <si>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</si>
  <si>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</si>
  <si>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</si>
  <si>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</si>
  <si>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</si>
  <si>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</si>
  <si>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</si>
  <si>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</si>
  <si>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</si>
  <si>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</si>
  <si>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</si>
  <si>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</si>
  <si>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</si>
  <si>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</si>
  <si>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</si>
  <si>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</si>
  <si>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</si>
  <si>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</si>
  <si>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</si>
  <si>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</si>
  <si>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</si>
  <si>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</si>
  <si>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</si>
  <si>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</si>
  <si>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</si>
  <si>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</si>
  <si>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</si>
  <si>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</si>
  <si>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</si>
  <si>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</si>
  <si>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</si>
  <si>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</si>
  <si>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</si>
  <si>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</si>
  <si>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</si>
  <si>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</si>
  <si>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</si>
  <si>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</si>
  <si>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</si>
  <si>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</si>
  <si>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</si>
  <si>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</si>
  <si>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</si>
  <si>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</si>
  <si>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</si>
  <si>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</si>
  <si>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</si>
  <si>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</si>
  <si>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</si>
  <si>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</si>
  <si>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</si>
  <si>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</si>
  <si>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</si>
  <si>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</si>
  <si>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</si>
  <si>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</si>
  <si>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</si>
  <si>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</si>
  <si>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</si>
  <si>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</si>
  <si>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</si>
  <si>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</si>
  <si>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</si>
  <si>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</si>
  <si>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</si>
  <si>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</si>
  <si>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</si>
  <si>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</si>
  <si>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</si>
  <si>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</si>
  <si>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</si>
  <si>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</si>
  <si>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</si>
  <si>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</si>
  <si>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</si>
  <si>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</si>
  <si>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</si>
  <si>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</si>
  <si>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</si>
  <si>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</si>
  <si>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</si>
  <si>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</si>
  <si>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</si>
  <si>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</si>
  <si>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</si>
  <si>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</si>
  <si>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</si>
  <si>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</si>
  <si>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</si>
  <si>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</si>
  <si>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</si>
  <si>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</si>
  <si>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</si>
  <si>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</si>
  <si>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</si>
  <si>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</si>
  <si>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</si>
  <si>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</si>
  <si>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</si>
  <si>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</si>
  <si>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</si>
  <si>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</si>
  <si>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</si>
  <si>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</si>
  <si>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</si>
  <si>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</si>
  <si>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</si>
  <si>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</si>
  <si>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</si>
  <si>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</si>
  <si>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</si>
  <si>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</si>
  <si>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</si>
  <si>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</si>
  <si>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</si>
  <si>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</si>
  <si>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</si>
  <si>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</si>
  <si>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</si>
  <si>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</si>
  <si>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</si>
  <si>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</si>
  <si>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</si>
  <si>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</si>
  <si>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</si>
  <si>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</si>
  <si>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</si>
  <si>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</si>
  <si>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</si>
  <si>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</si>
  <si>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</si>
  <si>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</si>
  <si>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</si>
  <si>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</si>
  <si>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</si>
  <si>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</si>
  <si>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</si>
  <si>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</si>
  <si>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</si>
  <si>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</si>
  <si>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</si>
  <si>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</si>
  <si>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</si>
  <si>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</si>
  <si>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</si>
  <si>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</si>
  <si>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</si>
  <si>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</si>
  <si>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</si>
  <si>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</si>
  <si>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</si>
  <si>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</si>
  <si>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</si>
  <si>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</si>
  <si>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</si>
  <si>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</si>
  <si>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</si>
  <si>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</si>
  <si>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</si>
  <si>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</si>
  <si>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</si>
  <si>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</si>
  <si>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</si>
  <si>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</si>
  <si>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</si>
  <si>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</si>
  <si>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</si>
  <si>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</si>
  <si>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</si>
  <si>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</si>
  <si>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</si>
  <si>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</si>
  <si>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</si>
  <si>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</si>
  <si>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</si>
  <si>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</si>
  <si>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</si>
  <si>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</si>
  <si>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</si>
  <si>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</si>
  <si>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</si>
  <si>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</si>
  <si>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</si>
  <si>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</si>
  <si>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</si>
  <si>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</si>
  <si>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</si>
  <si>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</si>
  <si>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</si>
  <si>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</si>
  <si>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</si>
  <si>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</si>
  <si>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</si>
  <si>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</si>
  <si>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</si>
  <si>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</si>
  <si>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</si>
  <si>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</si>
  <si>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</si>
  <si>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</si>
  <si>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</si>
  <si>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</si>
  <si>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</si>
  <si>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</si>
  <si>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</si>
  <si>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</si>
  <si>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</si>
  <si>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</si>
  <si>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</si>
  <si>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</si>
  <si>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</si>
  <si>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</si>
  <si>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</si>
  <si>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</si>
  <si>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</si>
  <si>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</si>
  <si>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</si>
  <si>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</si>
  <si>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</si>
  <si>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</si>
  <si>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</si>
  <si>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</si>
  <si>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</si>
  <si>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</si>
  <si>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</si>
  <si>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</si>
  <si>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</si>
  <si>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</si>
  <si>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</si>
  <si>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</si>
  <si>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</si>
  <si>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</si>
  <si>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</si>
  <si>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</si>
  <si>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</si>
  <si>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</si>
  <si>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</si>
  <si>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</si>
  <si>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</si>
  <si>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</si>
  <si>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</si>
  <si>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</si>
  <si>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</si>
  <si>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</si>
  <si>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</si>
  <si>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</si>
  <si>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</si>
  <si>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</si>
  <si>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</si>
  <si>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</si>
  <si>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</si>
  <si>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</si>
  <si>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</si>
  <si>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</si>
  <si>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</si>
  <si>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</si>
  <si>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</si>
  <si>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</si>
  <si>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</si>
  <si>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</si>
  <si>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</si>
  <si>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</si>
  <si>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</si>
  <si>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</si>
  <si>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</si>
  <si>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</si>
  <si>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</si>
  <si>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</si>
  <si>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</si>
  <si>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</si>
  <si>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</si>
  <si>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</si>
  <si>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</si>
  <si>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</si>
  <si>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</si>
  <si>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</si>
  <si>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</si>
  <si>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</si>
  <si>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</si>
  <si>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</si>
  <si>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</si>
  <si>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</si>
  <si>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</si>
  <si>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</si>
  <si>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</si>
  <si>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</si>
  <si>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</si>
  <si>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</si>
  <si>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</si>
  <si>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</si>
  <si>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</si>
  <si>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</si>
  <si>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</si>
  <si>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</si>
  <si>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</si>
  <si>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</si>
  <si>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</si>
  <si>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</si>
  <si>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</si>
  <si>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</si>
  <si>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</si>
  <si>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</si>
  <si>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</si>
  <si>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</si>
  <si>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</si>
  <si>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</si>
  <si>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</si>
  <si>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</si>
  <si>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</si>
  <si>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</si>
  <si>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</si>
  <si>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</si>
  <si>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</si>
  <si>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</si>
  <si>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</si>
  <si>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</si>
  <si>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</si>
  <si>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</si>
  <si>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</si>
  <si>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</si>
  <si>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</si>
  <si>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</si>
  <si>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</si>
  <si>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</si>
  <si>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</si>
  <si>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</si>
  <si>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</si>
  <si>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</si>
  <si>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</si>
  <si>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</si>
  <si>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</si>
  <si>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</si>
  <si>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</si>
  <si>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</si>
  <si>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</si>
  <si>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</si>
  <si>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</si>
  <si>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</si>
  <si>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</si>
  <si>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</si>
  <si>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</si>
  <si>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</si>
  <si>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</si>
  <si>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</si>
  <si>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</si>
  <si>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</si>
  <si>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</si>
  <si>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</si>
  <si>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</si>
  <si>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</si>
  <si>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</si>
  <si>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</si>
  <si>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</si>
  <si>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</si>
  <si>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</si>
  <si>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</si>
  <si>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</si>
  <si>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</si>
  <si>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</si>
  <si>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</si>
  <si>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</si>
  <si>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</si>
  <si>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</si>
  <si>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</si>
  <si>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</si>
  <si>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</si>
  <si>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</si>
  <si>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</si>
  <si>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</si>
  <si>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</si>
  <si>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</si>
  <si>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</si>
  <si>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</si>
  <si>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</si>
  <si>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</si>
  <si>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</si>
  <si>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</si>
  <si>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</si>
  <si>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</si>
  <si>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</si>
  <si>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</si>
  <si>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</si>
  <si>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</si>
  <si>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</si>
  <si>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</si>
  <si>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</si>
  <si>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</si>
  <si>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</si>
  <si>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</si>
  <si>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</si>
  <si>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</si>
  <si>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</si>
  <si>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</si>
  <si>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</si>
  <si>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</si>
  <si>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</si>
  <si>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</si>
  <si>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</si>
  <si>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</si>
  <si>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</si>
  <si>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</si>
  <si>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</si>
  <si>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</si>
  <si>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</si>
  <si>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</si>
  <si>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</si>
  <si>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</si>
  <si>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</si>
  <si>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</si>
  <si>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</si>
  <si>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</si>
  <si>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</si>
  <si>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</si>
  <si>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</si>
  <si>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</si>
  <si>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</si>
  <si>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</si>
  <si>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</si>
  <si>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</si>
  <si>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</si>
  <si>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</si>
  <si>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</si>
  <si>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</si>
  <si>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</si>
  <si>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</si>
  <si>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</si>
  <si>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</si>
  <si>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</si>
  <si>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</si>
  <si>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</si>
  <si>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</si>
  <si>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</si>
  <si>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</si>
  <si>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</si>
  <si>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</si>
  <si>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</si>
  <si>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</si>
  <si>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</si>
  <si>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</si>
  <si>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</si>
  <si>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</si>
  <si>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</si>
  <si>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</si>
  <si>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</si>
  <si>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</si>
  <si>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</si>
  <si>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</si>
  <si>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</si>
  <si>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</si>
  <si>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</si>
  <si>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</si>
  <si>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</si>
  <si>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</si>
  <si>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</si>
  <si>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</si>
  <si>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</si>
  <si>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</si>
  <si>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</si>
  <si>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</si>
  <si>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</si>
  <si>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</si>
  <si>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</si>
  <si>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</si>
  <si>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</si>
  <si>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</si>
  <si>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</si>
  <si>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</si>
  <si>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</si>
  <si>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</si>
  <si>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</si>
  <si>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</si>
  <si>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</si>
  <si>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</si>
  <si>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</si>
  <si>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</si>
  <si>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</si>
  <si>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</si>
  <si>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</si>
  <si>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</si>
  <si>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</si>
  <si>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</si>
  <si>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</si>
  <si>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</si>
  <si>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</si>
  <si>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</si>
  <si>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</si>
  <si>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</si>
  <si>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</si>
  <si>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</si>
  <si>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</si>
  <si>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</si>
  <si>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</si>
  <si>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</si>
  <si>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</si>
  <si>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</si>
  <si>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</si>
  <si>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</si>
  <si>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</si>
  <si>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</si>
  <si>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</si>
  <si>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</si>
  <si>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</si>
  <si>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</si>
  <si>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</si>
  <si>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</si>
  <si>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</si>
  <si>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</si>
  <si>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</si>
  <si>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</si>
  <si>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</si>
  <si>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</si>
  <si>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</si>
  <si>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</si>
  <si>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</si>
  <si>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</si>
  <si>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</si>
  <si>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</si>
  <si>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</si>
  <si>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</si>
  <si>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</si>
  <si>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</si>
  <si>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</si>
  <si>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</si>
  <si>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</si>
  <si>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</si>
  <si>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</si>
  <si>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</si>
  <si>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</si>
  <si>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</si>
  <si>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</si>
  <si>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</si>
  <si>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</si>
  <si>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</si>
  <si>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</si>
  <si>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</si>
  <si>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</si>
  <si>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</si>
  <si>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</si>
  <si>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</si>
  <si>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</si>
  <si>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</si>
  <si>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</si>
  <si>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</si>
  <si>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</si>
  <si>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</si>
  <si>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</si>
  <si>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</si>
  <si>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</si>
  <si>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</si>
  <si>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</si>
  <si>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</si>
  <si>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</si>
  <si>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</si>
  <si>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</si>
  <si>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</si>
  <si>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</si>
  <si>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</si>
  <si>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</si>
  <si>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</si>
  <si>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</si>
  <si>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</si>
  <si>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</si>
  <si>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</si>
  <si>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</si>
  <si>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</si>
  <si>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</si>
  <si>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</si>
  <si>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</si>
  <si>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</si>
  <si>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</si>
  <si>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</si>
  <si>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</si>
  <si>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</si>
  <si>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</si>
  <si>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</si>
  <si>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</si>
  <si>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</si>
  <si>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</si>
  <si>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</si>
  <si>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</si>
  <si>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</si>
  <si>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</si>
  <si>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</si>
  <si>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</si>
  <si>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</si>
  <si>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</si>
  <si>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</si>
  <si>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</si>
  <si>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</si>
  <si>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</si>
  <si>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</si>
  <si>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</si>
  <si>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</si>
  <si>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</si>
  <si>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</si>
  <si>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</si>
  <si>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</si>
  <si>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</si>
  <si>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</si>
  <si>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</si>
  <si>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</si>
  <si>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</si>
  <si>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</si>
  <si>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</si>
  <si>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</si>
  <si>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</si>
  <si>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</si>
  <si>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</si>
  <si>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</si>
  <si>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</si>
  <si>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</si>
  <si>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</si>
  <si>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</si>
  <si>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</si>
  <si>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</si>
  <si>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</si>
  <si>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</si>
  <si>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</si>
  <si>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</si>
  <si>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</si>
  <si>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</si>
  <si>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</si>
  <si>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</si>
  <si>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</si>
  <si>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</si>
  <si>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</si>
  <si>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</si>
  <si>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</si>
  <si>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</si>
  <si>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</si>
  <si>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</si>
  <si>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</si>
  <si>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</si>
  <si>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</si>
  <si>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</si>
  <si>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</si>
  <si>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</si>
  <si>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</si>
  <si>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</si>
  <si>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</si>
  <si>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</si>
  <si>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</si>
  <si>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</si>
  <si>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</si>
  <si>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</si>
  <si>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</si>
  <si>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</si>
  <si>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</si>
  <si>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</si>
  <si>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</si>
  <si>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</si>
  <si>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</si>
  <si>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</si>
  <si>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</si>
  <si>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</si>
  <si>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</si>
  <si>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</si>
  <si>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</si>
  <si>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</si>
  <si>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</si>
  <si>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</si>
  <si>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</si>
  <si>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</si>
  <si>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</si>
  <si>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</si>
  <si>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</si>
  <si>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</si>
  <si>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</si>
  <si>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</si>
  <si>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</si>
  <si>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</si>
  <si>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</si>
  <si>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</si>
  <si>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</si>
  <si>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</si>
  <si>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</si>
  <si>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</si>
  <si>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</si>
  <si>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</si>
  <si>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</si>
  <si>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</si>
  <si>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</si>
  <si>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</si>
  <si>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</si>
  <si>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</si>
  <si>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</si>
  <si>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</si>
  <si>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</si>
  <si>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</si>
  <si>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</si>
  <si>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</si>
  <si>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</si>
  <si>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</si>
  <si>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</si>
  <si>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</si>
  <si>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</si>
  <si>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</si>
  <si>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</si>
  <si>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</si>
  <si>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</si>
  <si>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</si>
  <si>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</si>
  <si>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</si>
  <si>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</si>
  <si>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</si>
  <si>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</si>
  <si>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</si>
  <si>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</si>
  <si>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</si>
  <si>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</si>
  <si>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</si>
  <si>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</si>
  <si>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</si>
  <si>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</si>
  <si>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</si>
  <si>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</si>
  <si>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</si>
  <si>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</si>
  <si>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</si>
  <si>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</si>
  <si>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</si>
  <si>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</si>
  <si>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</si>
  <si>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</si>
  <si>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</si>
  <si>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</si>
  <si>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</si>
  <si>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</si>
  <si>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</si>
  <si>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</si>
  <si>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</si>
  <si>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</si>
  <si>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</si>
  <si>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</si>
  <si>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</si>
  <si>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</si>
  <si>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</si>
  <si>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</si>
  <si>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</si>
  <si>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</si>
  <si>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</si>
  <si>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</si>
  <si>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</si>
  <si>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</si>
  <si>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</si>
  <si>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</si>
  <si>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</si>
  <si>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</si>
  <si>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</si>
  <si>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</si>
  <si>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</si>
  <si>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</si>
  <si>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</si>
  <si>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</si>
  <si>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</si>
  <si>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</si>
  <si>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</si>
  <si>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</si>
  <si>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</si>
  <si>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</si>
  <si>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</si>
  <si>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</si>
  <si>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</si>
  <si>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</si>
  <si>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</si>
  <si>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</si>
  <si>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</si>
  <si>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</si>
  <si>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</si>
  <si>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</si>
  <si>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</si>
  <si>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</si>
  <si>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</si>
  <si>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</si>
  <si>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</si>
  <si>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</si>
  <si>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</si>
  <si>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</si>
  <si>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</si>
  <si>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</si>
  <si>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</si>
  <si>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</si>
  <si>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</si>
  <si>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</si>
  <si>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</si>
  <si>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</si>
  <si>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</si>
  <si>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</si>
  <si>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</si>
  <si>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</si>
  <si>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</si>
  <si>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</si>
  <si>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</si>
  <si>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</si>
  <si>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</si>
  <si>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</si>
  <si>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</si>
  <si>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</si>
  <si>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</si>
  <si>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</si>
  <si>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</si>
  <si>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</si>
  <si>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</si>
  <si>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</si>
  <si>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</si>
  <si>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</si>
  <si>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</si>
  <si>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</si>
  <si>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</si>
  <si>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</si>
  <si>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</si>
  <si>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</si>
  <si>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</si>
  <si>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</si>
  <si>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</si>
  <si>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</si>
  <si>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</si>
  <si>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</si>
  <si>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</si>
  <si>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</si>
  <si>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</si>
  <si>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</si>
  <si>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</si>
  <si>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</si>
  <si>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</si>
  <si>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</si>
  <si>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</si>
  <si>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</si>
  <si>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</si>
  <si>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</si>
  <si>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</si>
  <si>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</si>
  <si>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</si>
  <si>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</si>
  <si>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</si>
  <si>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</si>
  <si>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</si>
  <si>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</si>
  <si>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</si>
  <si>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</si>
  <si>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</si>
  <si>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</si>
  <si>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</si>
  <si>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</si>
  <si>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</si>
  <si>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</si>
  <si>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</si>
  <si>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</si>
  <si>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</si>
  <si>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</si>
  <si>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</si>
  <si>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</si>
  <si>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</si>
  <si>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</si>
  <si>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</si>
  <si>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</si>
  <si>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</si>
  <si>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</si>
  <si>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</si>
  <si>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</si>
  <si>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</si>
  <si>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</si>
  <si>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</si>
  <si>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</si>
  <si>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</si>
  <si>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</si>
  <si>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</si>
  <si>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</si>
  <si>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</si>
  <si>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</si>
  <si>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</si>
  <si>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</si>
  <si>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</si>
  <si>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</si>
  <si>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</si>
  <si>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</si>
  <si>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</si>
  <si>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</si>
  <si>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</si>
  <si>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</si>
  <si>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</si>
  <si>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</si>
  <si>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</si>
  <si>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</si>
  <si>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</si>
  <si>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</si>
  <si>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</si>
  <si>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</si>
  <si>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</si>
  <si>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</si>
  <si>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</si>
  <si>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</si>
  <si>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</si>
  <si>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</si>
  <si>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</si>
  <si>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</si>
  <si>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</si>
  <si>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</si>
  <si>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</si>
  <si>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</si>
  <si>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</si>
  <si>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</si>
  <si>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</si>
  <si>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</si>
  <si>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</si>
  <si>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</si>
  <si>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</si>
  <si>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</si>
  <si>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</si>
  <si>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</si>
  <si>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</si>
  <si>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</si>
  <si>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</si>
  <si>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</si>
  <si>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</si>
  <si>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</si>
  <si>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</si>
  <si>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</si>
  <si>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</si>
  <si>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</si>
  <si>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</si>
  <si>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</si>
  <si>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</si>
  <si>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</si>
  <si>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</si>
  <si>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</si>
  <si>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</si>
  <si>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</si>
  <si>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</si>
  <si>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</si>
  <si>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</si>
  <si>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</si>
  <si>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</si>
  <si>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</si>
  <si>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</si>
  <si>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</si>
  <si>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</si>
  <si>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</si>
  <si>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</si>
  <si>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</si>
  <si>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</si>
  <si>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</si>
  <si>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</si>
  <si>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</si>
  <si>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</si>
  <si>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</si>
  <si>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</si>
  <si>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</si>
  <si>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</si>
  <si>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</si>
  <si>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</si>
  <si>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</si>
  <si>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</si>
  <si>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</si>
  <si>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</si>
  <si>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</si>
  <si>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</si>
  <si>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</si>
  <si>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</si>
  <si>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</si>
  <si>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</si>
  <si>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</si>
  <si>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</si>
  <si>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</si>
  <si>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</si>
  <si>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</si>
  <si>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</si>
  <si>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</si>
  <si>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</si>
  <si>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</si>
  <si>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</si>
  <si>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</si>
  <si>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</si>
  <si>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</si>
  <si>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</si>
  <si>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</si>
  <si>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</si>
  <si>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</si>
  <si>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</si>
  <si>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</si>
  <si>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</si>
  <si>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</si>
  <si>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</si>
  <si>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</si>
  <si>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</si>
  <si>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</si>
  <si>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</si>
  <si>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</si>
  <si>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</si>
  <si>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</si>
  <si>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</si>
  <si>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</si>
  <si>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</si>
  <si>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</si>
  <si>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</si>
  <si>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</si>
  <si>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</si>
  <si>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</si>
  <si>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</si>
  <si>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</si>
  <si>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</si>
  <si>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</si>
  <si>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</si>
  <si>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</si>
  <si>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</si>
  <si>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</si>
  <si>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</si>
  <si>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</si>
  <si>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</si>
  <si>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</si>
  <si>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</si>
  <si>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</si>
  <si>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</si>
  <si>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</si>
  <si>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</si>
  <si>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</si>
  <si>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</si>
  <si>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</si>
  <si>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</si>
  <si>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</si>
  <si>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</si>
  <si>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</si>
  <si>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</si>
  <si>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</si>
  <si>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</si>
  <si>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</si>
  <si>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</si>
  <si>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</si>
  <si>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</si>
  <si>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</si>
  <si>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</si>
  <si>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</si>
  <si>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</si>
  <si>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</si>
  <si>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</si>
  <si>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</si>
  <si>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</si>
  <si>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</si>
  <si>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</si>
  <si>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</si>
  <si>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</si>
  <si>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</si>
  <si>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</si>
  <si>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</si>
  <si>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</si>
  <si>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</si>
  <si>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</si>
  <si>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</si>
  <si>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</si>
  <si>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</si>
  <si>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</si>
  <si>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</si>
  <si>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</si>
  <si>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</si>
  <si>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</si>
  <si>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</si>
  <si>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</si>
  <si>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</si>
  <si>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</si>
  <si>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</si>
  <si>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</si>
  <si>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</si>
  <si>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</si>
  <si>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</si>
  <si>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</si>
  <si>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</si>
  <si>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</si>
  <si>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</si>
  <si>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</si>
  <si>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</si>
  <si>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</si>
  <si>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</si>
  <si>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</si>
  <si>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</si>
  <si>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</si>
  <si>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</si>
  <si>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</si>
  <si>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</si>
  <si>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</si>
  <si>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</si>
  <si>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</si>
  <si>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</si>
  <si>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</si>
  <si>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</si>
  <si>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</si>
  <si>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</si>
  <si>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</si>
  <si>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</si>
  <si>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</si>
  <si>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</si>
  <si>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</si>
  <si>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</si>
  <si>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</si>
  <si>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</si>
  <si>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</si>
  <si>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</si>
  <si>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</si>
  <si>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</si>
  <si>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</si>
  <si>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</si>
  <si>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</si>
  <si>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</si>
  <si>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</si>
  <si>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</si>
  <si>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</si>
  <si>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</si>
  <si>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</si>
  <si>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</si>
  <si>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</si>
  <si>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</si>
  <si>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</si>
  <si>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</si>
  <si>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</si>
  <si>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</si>
  <si>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</si>
  <si>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</si>
  <si>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</si>
  <si>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</si>
  <si>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</si>
  <si>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</si>
  <si>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</si>
  <si>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</si>
  <si>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</si>
  <si>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</si>
  <si>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</si>
  <si>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</si>
  <si>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</si>
  <si>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</si>
  <si>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</si>
  <si>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</si>
  <si>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</si>
  <si>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</si>
  <si>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</si>
  <si>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</si>
  <si>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</si>
  <si>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</si>
  <si>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</si>
  <si>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</si>
  <si>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</si>
  <si>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</si>
  <si>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</si>
  <si>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</si>
  <si>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</si>
  <si>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</si>
  <si>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</si>
  <si>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</si>
  <si>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</si>
  <si>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</si>
  <si>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</si>
  <si>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</si>
  <si>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</si>
  <si>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</si>
  <si>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</si>
  <si>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</si>
  <si>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</si>
  <si>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</si>
  <si>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</si>
  <si>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</si>
  <si>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</si>
  <si>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</si>
  <si>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</si>
  <si>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</si>
  <si>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</si>
  <si>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</si>
  <si>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</si>
  <si>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</si>
  <si>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</si>
  <si>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</si>
  <si>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</si>
  <si>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</si>
  <si>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</si>
  <si>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</si>
  <si>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</si>
  <si>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</si>
  <si>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</si>
  <si>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</si>
  <si>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</si>
  <si>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</si>
  <si>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</si>
  <si>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</si>
  <si>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</si>
  <si>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</si>
  <si>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</si>
  <si>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</si>
  <si>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</si>
  <si>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</si>
  <si>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</si>
  <si>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</si>
  <si>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</si>
  <si>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</si>
  <si>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</si>
  <si>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</si>
  <si>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</si>
  <si>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</si>
  <si>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</si>
  <si>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</si>
  <si>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</si>
  <si>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</si>
  <si>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</si>
  <si>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</si>
  <si>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</si>
  <si>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</si>
  <si>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</si>
  <si>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</si>
  <si>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</si>
  <si>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</si>
  <si>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</si>
  <si>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</si>
  <si>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</si>
  <si>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</si>
  <si>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</si>
  <si>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</si>
  <si>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</si>
  <si>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</si>
  <si>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</si>
  <si>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</si>
  <si>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</si>
  <si>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</si>
  <si>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</si>
  <si>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</si>
  <si>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</si>
  <si>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</si>
  <si>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</si>
  <si>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</si>
  <si>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</si>
  <si>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</si>
  <si>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</si>
  <si>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</si>
  <si>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</si>
  <si>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</si>
  <si>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</si>
  <si>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</si>
  <si>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</si>
  <si>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</si>
  <si>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</si>
  <si>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</si>
  <si>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</si>
  <si>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</si>
  <si>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</si>
  <si>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</si>
  <si>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</si>
  <si>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</si>
  <si>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</si>
  <si>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</si>
  <si>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</si>
  <si>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</si>
  <si>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</si>
  <si>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</si>
  <si>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</si>
  <si>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</si>
  <si>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</si>
  <si>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</si>
  <si>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</si>
  <si>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</si>
  <si>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</si>
  <si>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</si>
  <si>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</si>
  <si>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</si>
  <si>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</si>
  <si>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</si>
  <si>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</si>
  <si>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</si>
  <si>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</si>
  <si>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</si>
  <si>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</si>
  <si>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</si>
  <si>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</si>
  <si>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</si>
  <si>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</si>
  <si>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</si>
  <si>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</si>
  <si>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</si>
  <si>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</si>
  <si>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</si>
  <si>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</si>
  <si>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</si>
  <si>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</si>
  <si>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</si>
  <si>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</si>
  <si>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</si>
  <si>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</si>
  <si>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</si>
  <si>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</si>
  <si>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</si>
  <si>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</si>
  <si>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</si>
  <si>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</si>
  <si>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</si>
  <si>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</si>
  <si>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</si>
  <si>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</si>
  <si>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</si>
  <si>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</si>
  <si>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</si>
  <si>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</si>
  <si>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</si>
  <si>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</si>
  <si>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</si>
  <si>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</si>
  <si>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</si>
  <si>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</si>
  <si>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</si>
  <si>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</si>
  <si>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</si>
  <si>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</si>
  <si>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</si>
  <si>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</si>
  <si>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</si>
  <si>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</si>
  <si>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</si>
  <si>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</si>
  <si>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</si>
  <si>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</si>
  <si>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</si>
  <si>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</si>
  <si>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</si>
  <si>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</si>
  <si>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</si>
  <si>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</si>
  <si>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</si>
  <si>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</si>
  <si>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</si>
  <si>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</si>
  <si>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</si>
  <si>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</si>
  <si>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</si>
  <si>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</si>
  <si>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</si>
  <si>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</si>
  <si>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</si>
  <si>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</si>
  <si>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</si>
  <si>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</si>
  <si>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</si>
  <si>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</si>
  <si>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</si>
  <si>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</si>
  <si>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</si>
  <si>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</si>
  <si>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</si>
  <si>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</si>
  <si>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</si>
  <si>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</si>
  <si>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</si>
  <si>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</si>
  <si>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</si>
  <si>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</si>
  <si>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</si>
  <si>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</si>
  <si>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</si>
  <si>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</si>
  <si>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</si>
  <si>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</si>
  <si>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</si>
  <si>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</si>
  <si>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</si>
  <si>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</si>
  <si>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</si>
  <si>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</si>
  <si>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</si>
  <si>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</si>
  <si>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</si>
  <si>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</si>
  <si>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</si>
  <si>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</si>
  <si>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</si>
  <si>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</si>
  <si>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</si>
  <si>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</si>
  <si>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</si>
  <si>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</si>
  <si>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</si>
  <si>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</si>
  <si>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</si>
  <si>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</si>
  <si>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</si>
  <si>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</si>
  <si>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</si>
  <si>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</si>
  <si>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</si>
  <si>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</si>
  <si>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</si>
  <si>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</si>
  <si>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</si>
  <si>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</si>
  <si>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</si>
  <si>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</si>
  <si>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</si>
  <si>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</si>
  <si>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</si>
  <si>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</si>
  <si>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</si>
  <si>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</si>
  <si>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</si>
  <si>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</si>
  <si>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</si>
  <si>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</si>
  <si>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</si>
  <si>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</si>
  <si>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</si>
  <si>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</si>
  <si>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</si>
  <si>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</si>
  <si>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</si>
  <si>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</si>
  <si>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</si>
  <si>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</si>
  <si>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</si>
  <si>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</si>
  <si>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</si>
  <si>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</si>
  <si>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</si>
  <si>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</si>
  <si>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</si>
  <si>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</si>
  <si>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</si>
  <si>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</si>
  <si>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</si>
  <si>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</si>
  <si>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</si>
  <si>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</si>
  <si>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</si>
  <si>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</si>
  <si>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</si>
  <si>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</si>
  <si>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</si>
  <si>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</si>
  <si>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</si>
  <si>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</si>
  <si>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</si>
  <si>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</si>
  <si>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</si>
  <si>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</si>
  <si>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</si>
  <si>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</si>
  <si>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</si>
  <si>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</si>
  <si>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</si>
  <si>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</si>
  <si>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</si>
  <si>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</si>
  <si>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</si>
  <si>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</si>
  <si>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</si>
  <si>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</si>
  <si>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</si>
  <si>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</si>
  <si>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</si>
  <si>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</si>
  <si>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</si>
  <si>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</si>
  <si>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</si>
  <si>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</si>
  <si>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</si>
  <si>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</si>
  <si>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</si>
  <si>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</si>
  <si>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</si>
  <si>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</si>
  <si>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</si>
  <si>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</si>
  <si>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</si>
  <si>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</si>
  <si>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</si>
  <si>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</si>
  <si>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</si>
  <si>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</si>
  <si>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</si>
  <si>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</si>
  <si>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</si>
  <si>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</si>
  <si>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</si>
  <si>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</si>
  <si>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</si>
  <si>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</si>
  <si>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</si>
  <si>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</si>
  <si>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</si>
  <si>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</si>
  <si>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</si>
  <si>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</si>
  <si>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</si>
  <si>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</si>
  <si>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</si>
  <si>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</si>
  <si>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</si>
  <si>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</si>
  <si>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</si>
  <si>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</si>
  <si>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</si>
  <si>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</si>
  <si>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</si>
  <si>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</si>
  <si>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</si>
  <si>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</si>
  <si>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</si>
  <si>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</si>
  <si>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</si>
  <si>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</si>
  <si>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</si>
  <si>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</si>
  <si>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</si>
  <si>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</si>
  <si>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</si>
  <si>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</si>
  <si>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</si>
  <si>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</si>
  <si>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</si>
  <si>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</si>
  <si>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</si>
  <si>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</si>
  <si>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</si>
  <si>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</si>
  <si>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</si>
  <si>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</si>
  <si>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</si>
  <si>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</si>
  <si>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</si>
  <si>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</si>
  <si>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</si>
  <si>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</si>
  <si>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</si>
  <si>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</si>
  <si>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</si>
  <si>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</si>
  <si>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</si>
  <si>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</si>
  <si>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</si>
  <si>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</si>
  <si>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</si>
  <si>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</si>
  <si>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</si>
  <si>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</si>
  <si>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</si>
  <si>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</si>
  <si>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</si>
  <si>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</si>
  <si>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</si>
  <si>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</si>
  <si>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</si>
  <si>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</si>
  <si>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</si>
  <si>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</si>
  <si>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</si>
  <si>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</si>
  <si>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</si>
  <si>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</si>
  <si>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</si>
  <si>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</si>
  <si>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</si>
  <si>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</si>
  <si>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</si>
  <si>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</si>
  <si>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</si>
  <si>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</si>
  <si>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</si>
  <si>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</si>
  <si>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</si>
  <si>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</si>
  <si>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</si>
  <si>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</si>
  <si>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</si>
  <si>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</si>
  <si>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</si>
  <si>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</si>
  <si>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</si>
  <si>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</si>
  <si>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</si>
  <si>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</si>
  <si>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</si>
  <si>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</si>
  <si>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</si>
  <si>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</si>
  <si>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</si>
  <si>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</si>
  <si>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</si>
  <si>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</si>
  <si>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</si>
  <si>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</si>
  <si>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</si>
  <si>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</si>
  <si>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</si>
  <si>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</si>
  <si>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</si>
  <si>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</si>
  <si>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</si>
  <si>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</si>
  <si>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</si>
  <si>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</si>
  <si>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</si>
  <si>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</si>
  <si>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</si>
  <si>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</si>
  <si>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</si>
  <si>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</si>
  <si>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</si>
  <si>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</si>
  <si>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</si>
  <si>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</si>
  <si>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</si>
  <si>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</si>
  <si>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</si>
  <si>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</si>
  <si>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</si>
  <si>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</si>
  <si>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</si>
  <si>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</si>
  <si>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</si>
  <si>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</si>
  <si>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</si>
  <si>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</si>
  <si>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</si>
  <si>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</si>
  <si>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</si>
  <si>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</si>
  <si>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</si>
  <si>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</si>
  <si>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</si>
  <si>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</si>
  <si>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</si>
  <si>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</si>
  <si>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</si>
  <si>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</si>
  <si>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</si>
  <si>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</si>
  <si>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</si>
  <si>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</si>
  <si>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</si>
  <si>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</si>
  <si>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</si>
  <si>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</si>
  <si>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</si>
  <si>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</si>
  <si>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</si>
  <si>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</si>
  <si>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</si>
  <si>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</si>
  <si>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</si>
  <si>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</si>
  <si>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</si>
  <si>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</si>
  <si>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</si>
  <si>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</si>
  <si>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</si>
  <si>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</si>
  <si>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</si>
  <si>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</si>
  <si>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</si>
  <si>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</si>
  <si>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</si>
  <si>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</si>
  <si>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</si>
  <si>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</si>
  <si>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</si>
  <si>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</si>
  <si>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</si>
  <si>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</si>
  <si>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</si>
  <si>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</si>
  <si>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</si>
  <si>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</si>
  <si>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</si>
  <si>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</si>
  <si>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</si>
  <si>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</si>
  <si>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</si>
  <si>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</si>
  <si>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</si>
  <si>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</si>
  <si>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</si>
  <si>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</si>
  <si>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</si>
  <si>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</si>
  <si>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</si>
  <si>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</si>
  <si>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</si>
  <si>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</si>
  <si>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</si>
  <si>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</si>
  <si>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</si>
  <si>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</si>
  <si>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</si>
  <si>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</si>
  <si>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</si>
  <si>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</si>
  <si>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</si>
  <si>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</si>
  <si>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</si>
  <si>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</si>
  <si>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</si>
  <si>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</si>
  <si>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</si>
  <si>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</si>
  <si>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</si>
  <si>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</si>
  <si>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</si>
  <si>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</si>
  <si>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</si>
  <si>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</si>
  <si>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</si>
  <si>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</si>
  <si>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</si>
  <si>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</si>
  <si>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</si>
  <si>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</si>
  <si>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</si>
  <si>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</si>
  <si>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</si>
  <si>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</si>
  <si>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</si>
  <si>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</si>
  <si>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</si>
  <si>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</si>
  <si>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</si>
  <si>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</si>
  <si>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</si>
  <si>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</si>
  <si>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</si>
  <si>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</si>
  <si>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</si>
  <si>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</si>
  <si>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</si>
  <si>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</si>
  <si>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</si>
  <si>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</si>
  <si>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</si>
  <si>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</si>
  <si>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</si>
  <si>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</si>
  <si>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</si>
  <si>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</si>
  <si>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</si>
  <si>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</si>
  <si>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</si>
  <si>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</si>
  <si>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</si>
  <si>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</si>
  <si>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</si>
  <si>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</si>
  <si>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</si>
  <si>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</si>
  <si>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</si>
  <si>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</si>
  <si>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</si>
  <si>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</si>
  <si>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</si>
  <si>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</si>
  <si>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</si>
  <si>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</si>
  <si>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</si>
  <si>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</si>
  <si>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</si>
  <si>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</si>
  <si>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</si>
  <si>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</si>
  <si>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</si>
  <si>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</si>
  <si>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</si>
  <si>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</si>
  <si>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</si>
  <si>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</si>
  <si>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</si>
  <si>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</si>
  <si>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</si>
  <si>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</si>
  <si>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</si>
  <si>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</si>
  <si>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</si>
  <si>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</si>
  <si>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</si>
  <si>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</si>
  <si>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</si>
  <si>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</si>
  <si>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</si>
  <si>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</si>
  <si>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</si>
  <si>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</si>
  <si>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</si>
  <si>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</si>
  <si>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</si>
  <si>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</si>
  <si>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</si>
  <si>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</si>
  <si>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</si>
  <si>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</si>
  <si>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</si>
  <si>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</si>
  <si>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</si>
  <si>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</si>
  <si>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</si>
  <si>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</si>
  <si>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</si>
  <si>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</si>
  <si>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</si>
  <si>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</si>
  <si>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</si>
  <si>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</si>
  <si>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</si>
  <si>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</si>
  <si>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</si>
  <si>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</si>
  <si>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</si>
  <si>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</si>
  <si>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</si>
  <si>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</si>
  <si>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</si>
  <si>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</si>
  <si>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</si>
  <si>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</si>
  <si>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</si>
  <si>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</si>
  <si>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</si>
  <si>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</si>
  <si>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</si>
  <si>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</si>
  <si>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</si>
  <si>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</si>
  <si>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</si>
  <si>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</si>
  <si>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</si>
  <si>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</si>
  <si>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</si>
  <si>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</si>
  <si>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</si>
  <si>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</si>
  <si>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</si>
  <si>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</si>
  <si>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</si>
  <si>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</si>
  <si>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</si>
  <si>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</si>
  <si>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</si>
  <si>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</si>
  <si>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</si>
  <si>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</si>
  <si>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</si>
  <si>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</si>
  <si>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</si>
  <si>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</si>
  <si>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</si>
  <si>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</si>
  <si>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</si>
  <si>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</si>
  <si>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</si>
  <si>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</si>
  <si>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</si>
  <si>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</si>
  <si>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</si>
  <si>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</si>
  <si>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</si>
  <si>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</si>
  <si>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</si>
  <si>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</si>
  <si>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</si>
  <si>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</si>
  <si>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</si>
  <si>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</si>
  <si>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</si>
  <si>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</si>
  <si>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</si>
  <si>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</si>
  <si>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</si>
  <si>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</si>
  <si>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</si>
  <si>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</si>
  <si>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</si>
  <si>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</si>
  <si>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</si>
  <si>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</si>
  <si>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</si>
  <si>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</si>
  <si>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</si>
  <si>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</si>
  <si>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</si>
  <si>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</si>
  <si>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</si>
  <si>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</si>
  <si>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</si>
  <si>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</si>
  <si>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</si>
  <si>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</si>
  <si>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</si>
  <si>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</si>
  <si>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</si>
  <si>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</si>
  <si>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</si>
  <si>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</si>
  <si>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</si>
  <si>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</si>
  <si>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</si>
  <si>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</si>
  <si>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</si>
  <si>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</si>
  <si>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</si>
  <si>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</si>
  <si>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</si>
  <si>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</si>
  <si>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</si>
  <si>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</si>
  <si>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</si>
  <si>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</si>
  <si>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</si>
  <si>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</si>
  <si>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</si>
  <si>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</si>
  <si>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</si>
  <si>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</si>
  <si>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</si>
  <si>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</si>
  <si>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</si>
  <si>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</si>
  <si>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</si>
  <si>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</si>
  <si>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</si>
  <si>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</si>
  <si>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</si>
  <si>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</si>
  <si>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</si>
  <si>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</si>
  <si>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</si>
  <si>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</si>
  <si>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</si>
  <si>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</si>
  <si>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</si>
  <si>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</si>
  <si>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</si>
  <si>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</si>
  <si>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</si>
  <si>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</si>
  <si>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</si>
  <si>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</si>
  <si>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</si>
  <si>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</si>
  <si>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</si>
  <si>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</si>
  <si>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</si>
  <si>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</si>
  <si>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</si>
  <si>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</si>
  <si>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</si>
  <si>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</si>
  <si>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</si>
  <si>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</si>
  <si>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</si>
  <si>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</si>
  <si>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</si>
  <si>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</si>
  <si>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</si>
  <si>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</si>
  <si>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</si>
  <si>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</si>
  <si>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</si>
  <si>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</si>
  <si>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</si>
  <si>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</si>
  <si>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</si>
  <si>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</si>
  <si>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</si>
  <si>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</si>
  <si>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</si>
  <si>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</si>
  <si>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</si>
  <si>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</si>
  <si>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</si>
  <si>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</si>
  <si>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</si>
  <si>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</si>
  <si>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</si>
  <si>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</si>
  <si>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</si>
  <si>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</si>
  <si>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</si>
  <si>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</si>
  <si>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</si>
  <si>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</si>
  <si>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</si>
  <si>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</si>
  <si>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</si>
  <si>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</si>
  <si>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</si>
  <si>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</si>
  <si>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</si>
  <si>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</si>
  <si>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</si>
  <si>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</si>
  <si>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</si>
  <si>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</si>
  <si>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</si>
  <si>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</si>
  <si>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</si>
  <si>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</si>
  <si>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</si>
  <si>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</si>
  <si>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</si>
  <si>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</si>
  <si>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</si>
  <si>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</si>
  <si>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</si>
  <si>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</si>
  <si>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</si>
  <si>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</si>
  <si>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</si>
  <si>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</si>
  <si>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</si>
  <si>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</si>
  <si>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</si>
  <si>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</si>
  <si>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</si>
  <si>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</si>
  <si>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</si>
  <si>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</si>
  <si>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</si>
  <si>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</si>
  <si>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</si>
  <si>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</si>
  <si>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</si>
  <si>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</si>
  <si>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</si>
  <si>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</si>
  <si>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</si>
  <si>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</si>
  <si>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</si>
  <si>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</si>
  <si>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</si>
  <si>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</si>
  <si>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</si>
  <si>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</si>
  <si>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</si>
  <si>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</si>
  <si>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</si>
  <si>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</si>
  <si>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</si>
  <si>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</si>
  <si>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</si>
  <si>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</si>
  <si>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</si>
  <si>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</si>
  <si>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</si>
  <si>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</si>
  <si>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</si>
  <si>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</si>
  <si>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</si>
  <si>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</si>
  <si>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</si>
  <si>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</si>
  <si>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</si>
  <si>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</si>
  <si>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</si>
  <si>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</si>
  <si>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</si>
  <si>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</si>
  <si>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</si>
  <si>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</si>
  <si>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</si>
  <si>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</si>
  <si>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</si>
  <si>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</si>
  <si>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</si>
  <si>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</si>
  <si>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</si>
  <si>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</si>
  <si>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</si>
  <si>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</si>
  <si>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</si>
  <si>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</si>
  <si>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</si>
  <si>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</si>
  <si>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</si>
  <si>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</si>
  <si>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</si>
  <si>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</si>
  <si>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</si>
  <si>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</si>
  <si>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</si>
  <si>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</si>
  <si>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</si>
  <si>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</si>
  <si>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</si>
  <si>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</si>
  <si>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</si>
  <si>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</si>
  <si>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</si>
  <si>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</si>
  <si>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</si>
  <si>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</si>
  <si>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</si>
  <si>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</si>
  <si>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</si>
  <si>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</si>
  <si>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</si>
  <si>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</si>
  <si>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</si>
  <si>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</si>
  <si>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</si>
  <si>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</si>
  <si>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</si>
  <si>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</si>
  <si>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</si>
  <si>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</si>
  <si>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</si>
  <si>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</si>
  <si>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</si>
  <si>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</si>
  <si>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</si>
  <si>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</si>
  <si>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</si>
  <si>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</si>
  <si>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</si>
  <si>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</si>
  <si>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</si>
  <si>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</si>
  <si>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</si>
  <si>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</si>
  <si>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</si>
  <si>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</si>
  <si>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</si>
  <si>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</si>
  <si>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</si>
  <si>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</si>
  <si>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</si>
  <si>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</si>
  <si>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</si>
  <si>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</si>
  <si>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</si>
  <si>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</si>
  <si>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</si>
  <si>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</si>
  <si>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</si>
  <si>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</si>
  <si>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</si>
  <si>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</si>
  <si>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</si>
  <si>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</si>
  <si>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</si>
  <si>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</si>
  <si>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</si>
  <si>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</si>
  <si>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</si>
  <si>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</si>
  <si>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</si>
  <si>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</si>
  <si>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</si>
  <si>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</si>
  <si>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</si>
  <si>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</si>
  <si>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</si>
  <si>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</si>
  <si>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</si>
  <si>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</si>
  <si>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</si>
  <si>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</si>
  <si>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</si>
  <si>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</si>
  <si>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</si>
  <si>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</si>
  <si>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</si>
  <si>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</si>
  <si>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</si>
  <si>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</si>
  <si>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</si>
  <si>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</si>
  <si>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</si>
  <si>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</si>
  <si>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</si>
  <si>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</si>
  <si>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</si>
  <si>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</si>
  <si>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</si>
  <si>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</si>
  <si>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</si>
  <si>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</si>
  <si>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</si>
  <si>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</si>
  <si>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</si>
  <si>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</si>
  <si>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</si>
  <si>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</si>
  <si>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</si>
  <si>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</si>
  <si>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</si>
  <si>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</si>
  <si>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</si>
  <si>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</si>
  <si>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</si>
  <si>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</si>
  <si>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</si>
  <si>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</si>
  <si>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</si>
  <si>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</si>
  <si>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</si>
  <si>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</si>
  <si>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</si>
  <si>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</si>
  <si>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</si>
  <si>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</si>
  <si>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</si>
  <si>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</si>
  <si>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</si>
  <si>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</si>
  <si>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</si>
  <si>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</si>
  <si>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</si>
  <si>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</si>
  <si>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</si>
  <si>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</si>
  <si>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</si>
  <si>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</si>
  <si>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</si>
  <si>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</si>
  <si>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</si>
  <si>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</si>
  <si>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</si>
  <si>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</si>
  <si>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</si>
  <si>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</si>
  <si>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</si>
  <si>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</si>
  <si>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</si>
  <si>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</si>
  <si>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</si>
  <si>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</si>
  <si>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</si>
  <si>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</si>
  <si>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</si>
  <si>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</si>
  <si>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</si>
  <si>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</si>
  <si>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</si>
  <si>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</si>
  <si>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</si>
  <si>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</si>
  <si>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</si>
  <si>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</si>
  <si>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</si>
  <si>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</si>
  <si>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</si>
  <si>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</si>
  <si>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</si>
  <si>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</si>
  <si>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</si>
  <si>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</si>
  <si>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</si>
  <si>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</si>
  <si>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</si>
  <si>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</si>
  <si>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</si>
  <si>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</si>
  <si>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</si>
  <si>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</si>
  <si>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</si>
  <si>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</si>
  <si>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</si>
  <si>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</si>
  <si>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</si>
  <si>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</si>
  <si>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</si>
  <si>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</si>
  <si>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</si>
  <si>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</si>
  <si>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</si>
  <si>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</si>
  <si>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</si>
  <si>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</si>
  <si>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</si>
  <si>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</si>
  <si>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</si>
  <si>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</si>
  <si>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</si>
  <si>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</si>
  <si>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</si>
  <si>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</si>
  <si>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</si>
  <si>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</si>
  <si>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</si>
  <si>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</si>
  <si>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</si>
  <si>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</si>
  <si>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</si>
  <si>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</si>
  <si>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</si>
  <si>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</si>
  <si>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</si>
  <si>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</si>
  <si>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</si>
  <si>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</si>
  <si>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</si>
  <si>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</si>
  <si>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</si>
  <si>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</si>
  <si>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</si>
  <si>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</si>
  <si>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</si>
  <si>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</si>
  <si>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</si>
  <si>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</si>
  <si>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</si>
  <si>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</si>
  <si>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</si>
  <si>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</si>
  <si>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</si>
  <si>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</si>
  <si>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</si>
  <si>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</si>
  <si>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</si>
  <si>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</si>
  <si>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</si>
  <si>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</si>
  <si>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</si>
  <si>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</si>
  <si>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</si>
  <si>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</si>
  <si>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</si>
  <si>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</si>
  <si>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</si>
  <si>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</si>
  <si>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</si>
  <si>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</si>
  <si>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</si>
  <si>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</si>
  <si>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</si>
  <si>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</si>
  <si>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</si>
  <si>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</si>
  <si>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</si>
  <si>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</si>
  <si>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</si>
  <si>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</si>
  <si>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</si>
  <si>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</si>
  <si>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</si>
  <si>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</si>
  <si>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</si>
  <si>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</si>
  <si>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</si>
  <si>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</si>
  <si>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</si>
  <si>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</si>
  <si>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</si>
  <si>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</si>
  <si>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</si>
  <si>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</si>
  <si>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</si>
  <si>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</si>
  <si>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</si>
  <si>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</si>
  <si>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</si>
  <si>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</si>
  <si>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</si>
  <si>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</si>
  <si>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</si>
  <si>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</si>
  <si>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</si>
  <si>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</si>
  <si>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</si>
  <si>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</si>
  <si>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</si>
  <si>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</si>
  <si>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</si>
  <si>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</si>
  <si>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</si>
  <si>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</si>
  <si>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</si>
  <si>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</si>
  <si>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</si>
  <si>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</si>
  <si>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</si>
  <si>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</si>
  <si>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</si>
  <si>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</si>
  <si>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</si>
  <si>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</si>
  <si>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</si>
  <si>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</si>
  <si>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</si>
  <si>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</si>
  <si>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</si>
  <si>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</si>
  <si>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</si>
  <si>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</si>
  <si>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</si>
  <si>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</si>
  <si>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</si>
  <si>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</si>
  <si>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</si>
  <si>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</si>
  <si>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</si>
  <si>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</si>
  <si>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</si>
  <si>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</si>
  <si>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</si>
  <si>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</si>
  <si>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</si>
  <si>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</si>
  <si>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</si>
  <si>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</si>
  <si>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</si>
  <si>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</si>
  <si>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</si>
  <si>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</si>
  <si>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</si>
  <si>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</si>
  <si>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</si>
  <si>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</si>
  <si>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</si>
  <si>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</si>
  <si>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</si>
  <si>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</si>
  <si>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</si>
  <si>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</si>
  <si>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</si>
  <si>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</si>
  <si>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</si>
  <si>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</si>
  <si>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</si>
  <si>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</si>
  <si>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</si>
  <si>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</si>
  <si>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</si>
  <si>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</si>
  <si>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</si>
  <si>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</si>
  <si>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</si>
  <si>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</si>
  <si>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</si>
  <si>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</si>
  <si>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</si>
  <si>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</si>
  <si>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</si>
  <si>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</si>
  <si>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</si>
  <si>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</si>
  <si>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</si>
  <si>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</si>
  <si>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</si>
  <si>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</si>
  <si>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</si>
  <si>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</si>
  <si>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</si>
  <si>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</si>
  <si>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</si>
  <si>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</si>
  <si>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</si>
  <si>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</si>
  <si>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</si>
  <si>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</si>
  <si>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</si>
  <si>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</si>
  <si>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</si>
  <si>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</si>
  <si>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</si>
  <si>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</si>
  <si>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</si>
  <si>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</si>
  <si>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</si>
  <si>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</si>
  <si>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</si>
  <si>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</si>
  <si>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</si>
  <si>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</si>
  <si>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</si>
  <si>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</si>
  <si>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</si>
  <si>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</si>
  <si>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</si>
  <si>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</si>
  <si>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</si>
  <si>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</si>
  <si>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</si>
  <si>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</si>
  <si>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</si>
  <si>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</si>
  <si>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</si>
  <si>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</si>
  <si>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</si>
  <si>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</si>
  <si>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</si>
  <si>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</si>
  <si>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</si>
  <si>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</si>
  <si>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</si>
  <si>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</si>
  <si>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</si>
  <si>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</si>
  <si>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</si>
  <si>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</si>
  <si>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</si>
  <si>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</si>
  <si>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</si>
  <si>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</si>
  <si>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</si>
  <si>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</si>
  <si>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</si>
  <si>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</si>
  <si>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</si>
  <si>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</si>
  <si>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</si>
  <si>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</si>
  <si>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</si>
  <si>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</si>
  <si>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</si>
  <si>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</si>
  <si>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</si>
  <si>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</si>
  <si>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</si>
  <si>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</si>
  <si>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</si>
  <si>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</si>
  <si>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</si>
  <si>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</si>
  <si>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</si>
  <si>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</si>
  <si>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</si>
  <si>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</si>
  <si>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</si>
  <si>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</si>
  <si>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</si>
  <si>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</si>
  <si>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</si>
  <si>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</si>
  <si>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</si>
  <si>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</si>
  <si>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</si>
  <si>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</si>
  <si>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</si>
  <si>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</si>
  <si>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</si>
  <si>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</si>
  <si>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</si>
  <si>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</si>
  <si>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</si>
  <si>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</si>
  <si>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</si>
  <si>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</si>
  <si>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</si>
  <si>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</si>
  <si>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</si>
  <si>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</si>
  <si>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</si>
  <si>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</si>
  <si>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</si>
  <si>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</si>
  <si>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</si>
  <si>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</si>
  <si>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</si>
  <si>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</si>
  <si>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</si>
  <si>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</si>
  <si>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</si>
  <si>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</si>
  <si>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</si>
  <si>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</si>
  <si>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</si>
  <si>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</si>
  <si>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</si>
  <si>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</si>
  <si>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</si>
  <si>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</si>
  <si>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</si>
  <si>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</si>
  <si>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</si>
  <si>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</si>
  <si>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</si>
  <si>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</si>
  <si>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</si>
  <si>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</si>
  <si>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</si>
  <si>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</si>
  <si>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</si>
  <si>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</si>
  <si>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</si>
  <si>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</si>
  <si>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</si>
  <si>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</si>
  <si>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</si>
  <si>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</si>
  <si>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</si>
  <si>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</si>
  <si>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</si>
  <si>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</si>
  <si>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</si>
  <si>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</si>
  <si>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</si>
  <si>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</si>
  <si>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</si>
  <si>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</si>
  <si>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</si>
  <si>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</si>
  <si>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</si>
  <si>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</si>
  <si>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</si>
  <si>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</si>
  <si>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</si>
  <si>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</si>
  <si>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</si>
  <si>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</si>
  <si>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</si>
  <si>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</si>
  <si>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</si>
  <si>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</si>
  <si>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</si>
  <si>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</si>
  <si>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</si>
  <si>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</si>
  <si>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</si>
  <si>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</si>
  <si>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</si>
  <si>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</si>
  <si>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</si>
  <si>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</si>
  <si>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</si>
  <si>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</si>
  <si>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</si>
  <si>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</si>
  <si>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</si>
  <si>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</si>
  <si>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</si>
  <si>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</si>
  <si>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</si>
  <si>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</si>
  <si>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</si>
  <si>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</si>
  <si>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</si>
  <si>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</si>
  <si>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</si>
  <si>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</si>
  <si>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</si>
  <si>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</si>
  <si>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</si>
  <si>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</si>
  <si>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</si>
  <si>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</si>
  <si>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</si>
  <si>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</si>
  <si>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</si>
  <si>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</si>
  <si>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</si>
  <si>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</si>
  <si>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</si>
  <si>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</si>
  <si>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</si>
  <si>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</si>
  <si>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</si>
  <si>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</si>
  <si>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</si>
  <si>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</si>
  <si>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</si>
  <si>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</si>
  <si>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</si>
  <si>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</si>
  <si>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</si>
  <si>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</si>
  <si>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</si>
  <si>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</si>
  <si>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</si>
  <si>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</si>
  <si>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</si>
  <si>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</si>
  <si>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</si>
  <si>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</si>
  <si>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</si>
  <si>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</si>
  <si>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</si>
  <si>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</si>
  <si>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</si>
  <si>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</si>
  <si>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</si>
  <si>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</si>
  <si>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</si>
  <si>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</si>
  <si>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</si>
  <si>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</si>
  <si>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</si>
  <si>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</si>
  <si>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</si>
  <si>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</si>
  <si>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</si>
  <si>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</si>
  <si>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</si>
  <si>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</si>
  <si>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</si>
  <si>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</si>
  <si>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</si>
  <si>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</si>
  <si>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</si>
  <si>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</si>
  <si>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</si>
  <si>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</si>
  <si>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</si>
  <si>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</si>
  <si>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</si>
  <si>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</si>
  <si>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</si>
  <si>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</si>
  <si>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</si>
  <si>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</si>
  <si>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</si>
  <si>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</si>
  <si>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</si>
  <si>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</si>
  <si>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</si>
  <si>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</si>
  <si>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</si>
  <si>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</si>
  <si>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</si>
  <si>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</si>
  <si>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</si>
  <si>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</si>
  <si>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</si>
  <si>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</si>
  <si>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</si>
  <si>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</si>
  <si>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</si>
  <si>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</si>
  <si>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</si>
  <si>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</si>
  <si>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</si>
  <si>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</si>
  <si>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</si>
  <si>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</si>
  <si>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</si>
  <si>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</si>
  <si>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</si>
  <si>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</si>
  <si>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</si>
  <si>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</si>
  <si>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</si>
  <si>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</si>
  <si>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</si>
  <si>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</si>
  <si>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</si>
  <si>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</si>
  <si>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</si>
  <si>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</si>
  <si>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</si>
  <si>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</si>
  <si>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</si>
  <si>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</si>
  <si>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</si>
  <si>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</si>
  <si>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</si>
  <si>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</si>
  <si>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</si>
  <si>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</si>
  <si>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</si>
  <si>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</si>
  <si>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</si>
  <si>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</si>
  <si>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</si>
  <si>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</si>
  <si>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</si>
  <si>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</si>
  <si>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</si>
  <si>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</si>
  <si>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</si>
  <si>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</si>
  <si>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</si>
  <si>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</si>
  <si>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</si>
  <si>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</si>
  <si>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</si>
  <si>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</si>
  <si>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</si>
  <si>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</si>
  <si>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</si>
  <si>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</si>
  <si>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</si>
  <si>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</si>
  <si>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</si>
  <si>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</si>
  <si>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</si>
  <si>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</si>
  <si>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</si>
  <si>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</si>
  <si>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</si>
  <si>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</si>
  <si>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</si>
  <si>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</si>
  <si>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</si>
  <si>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</si>
  <si>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</si>
  <si>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</si>
  <si>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</si>
  <si>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</si>
  <si>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</si>
  <si>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</si>
  <si>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</si>
  <si>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</si>
  <si>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</si>
  <si>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</si>
  <si>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</si>
  <si>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</si>
  <si>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</si>
  <si>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</si>
  <si>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</si>
  <si>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</si>
  <si>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</si>
  <si>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</si>
  <si>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</si>
  <si>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</si>
  <si>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</si>
  <si>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</si>
  <si>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</si>
  <si>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</si>
  <si>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</si>
  <si>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</si>
  <si>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</si>
  <si>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</si>
  <si>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</si>
  <si>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</si>
  <si>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</si>
  <si>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</si>
  <si>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</si>
  <si>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</si>
  <si>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</si>
  <si>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</si>
  <si>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</si>
  <si>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</si>
  <si>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</si>
  <si>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</si>
  <si>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</si>
  <si>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</si>
  <si>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</si>
  <si>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</si>
  <si>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</si>
  <si>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</si>
  <si>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</si>
  <si>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</si>
  <si>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</si>
  <si>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</si>
  <si>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</si>
  <si>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</si>
  <si>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</si>
  <si>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</si>
  <si>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</si>
  <si>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</si>
  <si>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</si>
  <si>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</si>
  <si>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</si>
  <si>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</si>
  <si>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</si>
  <si>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</si>
  <si>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</si>
  <si>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</si>
  <si>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</si>
  <si>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</si>
  <si>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</si>
  <si>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</si>
  <si>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</si>
  <si>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</si>
  <si>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</si>
  <si>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</si>
  <si>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</si>
  <si>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</si>
  <si>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</si>
  <si>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</si>
  <si>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</si>
  <si>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</si>
  <si>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</si>
  <si>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</si>
  <si>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</si>
  <si>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</si>
  <si>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</si>
  <si>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</si>
  <si>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</si>
  <si>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</si>
  <si>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</si>
  <si>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</si>
  <si>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</si>
  <si>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</si>
  <si>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</si>
  <si>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</si>
  <si>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</si>
  <si>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</si>
  <si>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</si>
  <si>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</si>
  <si>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</si>
  <si>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</si>
  <si>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</si>
  <si>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</si>
  <si>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</si>
  <si>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</si>
  <si>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</si>
  <si>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</si>
  <si>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</si>
  <si>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</si>
  <si>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</si>
  <si>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</si>
  <si>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</si>
  <si>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</si>
  <si>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</si>
  <si>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</si>
  <si>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</si>
  <si>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</si>
  <si>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</si>
  <si>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</si>
  <si>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</si>
  <si>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</si>
  <si>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</si>
  <si>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</si>
  <si>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</si>
  <si>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</si>
  <si>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</si>
  <si>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</si>
  <si>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</si>
  <si>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</si>
  <si>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</si>
  <si>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</si>
  <si>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</si>
  <si>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</si>
  <si>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</si>
  <si>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</si>
  <si>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</si>
  <si>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</si>
  <si>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</si>
  <si>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</si>
  <si>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</si>
  <si>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</si>
  <si>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</si>
  <si>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</si>
  <si>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</si>
  <si>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</si>
  <si>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</si>
  <si>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</si>
  <si>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</si>
  <si>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</si>
  <si>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</si>
  <si>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</si>
  <si>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</si>
  <si>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</si>
  <si>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</si>
  <si>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</si>
  <si>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</si>
  <si>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</si>
  <si>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</si>
  <si>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</si>
  <si>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</si>
  <si>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</si>
  <si>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</si>
  <si>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</si>
  <si>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</si>
  <si>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</si>
  <si>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</si>
  <si>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</si>
  <si>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</si>
  <si>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</si>
  <si>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</si>
  <si>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</si>
  <si>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</si>
  <si>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</si>
  <si>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</si>
  <si>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</si>
  <si>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</si>
  <si>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</si>
  <si>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</si>
  <si>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</si>
  <si>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</si>
  <si>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</si>
  <si>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</si>
  <si>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</si>
  <si>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</si>
  <si>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</si>
  <si>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</si>
  <si>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</si>
  <si>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</si>
  <si>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</si>
  <si>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</si>
  <si>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</si>
  <si>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</si>
  <si>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</si>
  <si>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</si>
  <si>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</si>
  <si>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</si>
  <si>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</si>
  <si>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</si>
  <si>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</si>
  <si>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</si>
  <si>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</si>
  <si>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</si>
  <si>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</si>
  <si>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</si>
  <si>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</si>
  <si>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</si>
  <si>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</si>
  <si>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</si>
  <si>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</si>
  <si>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</si>
  <si>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</si>
  <si>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</si>
  <si>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</si>
  <si>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</si>
  <si>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</si>
  <si>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</si>
  <si>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</si>
  <si>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</si>
  <si>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</si>
  <si>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</si>
  <si>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</si>
  <si>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</si>
  <si>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</si>
  <si>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</si>
  <si>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</si>
  <si>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</si>
  <si>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</si>
  <si>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</si>
  <si>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</si>
  <si>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</si>
  <si>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</si>
  <si>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</si>
  <si>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</si>
  <si>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</si>
  <si>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</si>
  <si>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</si>
  <si>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</si>
  <si>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</si>
  <si>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</si>
  <si>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</si>
  <si>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</si>
  <si>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</si>
  <si>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</si>
  <si>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</si>
  <si>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</si>
  <si>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</si>
  <si>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</si>
  <si>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</si>
  <si>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</si>
  <si>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</si>
  <si>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</si>
  <si>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</si>
  <si>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</si>
  <si>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</si>
  <si>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</si>
  <si>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</si>
  <si>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</si>
  <si>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</si>
  <si>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</si>
  <si>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</si>
  <si>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</si>
  <si>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</si>
  <si>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</si>
  <si>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</si>
  <si>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</si>
  <si>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</si>
  <si>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</si>
  <si>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</si>
  <si>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</si>
  <si>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</si>
  <si>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</si>
  <si>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</si>
  <si>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</si>
  <si>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</si>
  <si>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</si>
  <si>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</si>
  <si>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</si>
  <si>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</si>
  <si>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</si>
  <si>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</si>
  <si>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</si>
  <si>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</si>
  <si>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</si>
  <si>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</si>
  <si>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</si>
  <si>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</si>
  <si>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</si>
  <si>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</si>
  <si>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</si>
  <si>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</si>
  <si>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</si>
  <si>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</si>
  <si>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</si>
  <si>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</si>
  <si>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</si>
  <si>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</si>
  <si>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</si>
  <si>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</si>
  <si>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</si>
  <si>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</si>
  <si>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</si>
  <si>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</si>
  <si>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</si>
  <si>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</si>
  <si>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</si>
  <si>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</si>
  <si>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</si>
  <si>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</si>
  <si>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</si>
  <si>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</si>
  <si>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</si>
  <si>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</si>
  <si>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</si>
  <si>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</si>
  <si>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</si>
  <si>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</si>
  <si>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</si>
  <si>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</si>
  <si>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</si>
  <si>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</si>
  <si>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</si>
  <si>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</si>
  <si>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</si>
  <si>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</si>
  <si>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</si>
  <si>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</si>
  <si>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</si>
  <si>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</si>
  <si>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</si>
  <si>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</si>
  <si>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</si>
  <si>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</si>
  <si>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</si>
  <si>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</si>
  <si>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</si>
  <si>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</si>
  <si>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</si>
  <si>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</si>
  <si>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</si>
  <si>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</si>
  <si>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</si>
  <si>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</si>
  <si>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</si>
  <si>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</si>
  <si>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</si>
  <si>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</si>
  <si>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</si>
  <si>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</si>
  <si>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</si>
  <si>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</si>
  <si>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</si>
  <si>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</si>
  <si>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</si>
  <si>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</si>
  <si>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</si>
  <si>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</si>
  <si>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</si>
  <si>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</si>
  <si>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</si>
  <si>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</si>
  <si>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</si>
  <si>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</si>
  <si>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</si>
  <si>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</si>
  <si>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</si>
  <si>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</si>
  <si>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</si>
  <si>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</si>
  <si>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</si>
  <si>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</si>
  <si>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</si>
  <si>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</si>
  <si>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</si>
  <si>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</si>
  <si>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</si>
  <si>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</si>
  <si>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</si>
  <si>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</si>
  <si>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</si>
  <si>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</si>
  <si>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</si>
  <si>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</si>
  <si>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</si>
  <si>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</si>
  <si>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</si>
  <si>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</si>
  <si>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</si>
  <si>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</si>
  <si>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</si>
  <si>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</si>
  <si>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</si>
  <si>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</si>
  <si>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</si>
  <si>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</si>
  <si>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</si>
  <si>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</si>
  <si>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</si>
  <si>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</si>
  <si>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</si>
  <si>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</si>
  <si>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</si>
  <si>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</si>
  <si>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</si>
  <si>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</si>
  <si>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</si>
  <si>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</si>
  <si>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</si>
  <si>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</si>
  <si>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</si>
  <si>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</si>
  <si>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</si>
  <si>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</si>
  <si>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</si>
  <si>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</si>
  <si>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</si>
  <si>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</si>
  <si>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</si>
  <si>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</si>
  <si>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</si>
  <si>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</si>
  <si>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</si>
  <si>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</si>
  <si>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</si>
  <si>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</si>
  <si>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</si>
  <si>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</si>
  <si>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</si>
  <si>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</si>
  <si>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</si>
  <si>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</si>
  <si>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</si>
  <si>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</si>
  <si>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</si>
  <si>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</si>
  <si>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</si>
  <si>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</si>
  <si>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</si>
  <si>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</si>
  <si>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</si>
  <si>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</si>
  <si>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</si>
  <si>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</si>
  <si>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</si>
  <si>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</si>
  <si>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</si>
  <si>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</si>
  <si>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</si>
  <si>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</si>
  <si>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</si>
  <si>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</si>
  <si>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</si>
  <si>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</si>
  <si>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</si>
  <si>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</si>
  <si>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</si>
  <si>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</si>
  <si>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</si>
  <si>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</si>
  <si>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</si>
  <si>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</si>
  <si>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</si>
  <si>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</si>
  <si>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</si>
  <si>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</si>
  <si>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</si>
  <si>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</si>
  <si>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</si>
  <si>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</si>
  <si>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</si>
  <si>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</si>
  <si>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</si>
  <si>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</si>
  <si>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</si>
  <si>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</si>
  <si>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</si>
  <si>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</si>
  <si>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</si>
  <si>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</si>
  <si>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</si>
  <si>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</si>
  <si>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</si>
  <si>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</si>
  <si>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</si>
  <si>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</si>
  <si>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</si>
  <si>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</si>
  <si>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</si>
  <si>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</si>
  <si>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</si>
  <si>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</si>
  <si>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</si>
  <si>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</si>
  <si>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</si>
  <si>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</si>
  <si>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</si>
  <si>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</si>
  <si>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</si>
  <si>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</si>
  <si>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</si>
  <si>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</si>
  <si>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</si>
  <si>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</si>
  <si>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</si>
  <si>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</si>
  <si>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</si>
  <si>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</si>
  <si>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</si>
  <si>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</si>
  <si>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</si>
  <si>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</si>
  <si>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</si>
  <si>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</si>
  <si>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</si>
  <si>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</si>
  <si>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</si>
  <si>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</si>
  <si>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</si>
  <si>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</si>
  <si>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</si>
  <si>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</si>
  <si>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</si>
  <si>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</si>
  <si>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</si>
  <si>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</si>
  <si>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</si>
  <si>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</si>
  <si>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</si>
  <si>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</si>
  <si>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</si>
  <si>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</si>
  <si>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</si>
  <si>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</si>
  <si>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</si>
  <si>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</si>
  <si>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</si>
  <si>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</si>
  <si>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</si>
  <si>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</si>
  <si>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</si>
  <si>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</si>
  <si>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</si>
  <si>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</si>
  <si>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</si>
  <si>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</si>
  <si>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</si>
  <si>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</si>
  <si>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</si>
  <si>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</si>
  <si>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</si>
  <si>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</si>
  <si>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</si>
  <si>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</si>
  <si>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</si>
  <si>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</si>
  <si>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</si>
  <si>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</si>
  <si>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</si>
  <si>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</si>
  <si>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</si>
  <si>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</si>
  <si>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</si>
  <si>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</si>
  <si>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</si>
  <si>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</si>
  <si>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</si>
  <si>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</si>
  <si>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</si>
  <si>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</si>
  <si>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</si>
  <si>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</si>
  <si>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</si>
  <si>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</si>
  <si>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</si>
  <si>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</si>
  <si>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</si>
  <si>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</si>
  <si>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</si>
  <si>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</si>
  <si>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</si>
  <si>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</si>
  <si>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</si>
  <si>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</si>
  <si>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</si>
  <si>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</si>
  <si>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</si>
  <si>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</si>
  <si>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</si>
  <si>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</si>
  <si>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</si>
  <si>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</si>
  <si>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</si>
  <si>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</si>
  <si>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</si>
  <si>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</si>
  <si>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</si>
  <si>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</si>
  <si>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</si>
  <si>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</si>
  <si>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</si>
  <si>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</si>
  <si>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</si>
  <si>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</si>
  <si>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</si>
  <si>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</si>
  <si>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</si>
  <si>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</si>
  <si>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</si>
  <si>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</si>
  <si>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</si>
  <si>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</si>
  <si>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</si>
  <si>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</si>
  <si>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</si>
  <si>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</si>
  <si>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</si>
  <si>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</si>
  <si>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</si>
  <si>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</si>
  <si>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</si>
  <si>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</si>
  <si>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</si>
  <si>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</si>
  <si>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</si>
  <si>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</si>
  <si>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</si>
  <si>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</si>
  <si>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</si>
  <si>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</si>
  <si>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</si>
  <si>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</si>
  <si>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</si>
  <si>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</si>
  <si>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</si>
  <si>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</si>
  <si>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</si>
  <si>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</si>
  <si>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</si>
  <si>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</si>
  <si>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</si>
  <si>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</si>
  <si>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</si>
  <si>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</si>
  <si>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</si>
  <si>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</si>
  <si>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</si>
  <si>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</si>
  <si>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</si>
  <si>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</si>
  <si>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</si>
  <si>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</si>
  <si>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</si>
  <si>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</si>
  <si>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</si>
  <si>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</si>
  <si>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</si>
  <si>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</si>
  <si>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</si>
  <si>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</si>
  <si>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</si>
  <si>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</si>
  <si>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</si>
  <si>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</si>
  <si>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</si>
  <si>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</si>
  <si>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</si>
  <si>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</si>
  <si>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</si>
  <si>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</si>
  <si>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</si>
  <si>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</si>
  <si>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</si>
  <si>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</si>
  <si>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</si>
  <si>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</si>
  <si>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</si>
  <si>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</si>
  <si>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</si>
  <si>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</si>
  <si>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</si>
  <si>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</si>
  <si>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</si>
  <si>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</si>
  <si>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</si>
  <si>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</si>
  <si>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</si>
  <si>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</si>
  <si>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</si>
  <si>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</si>
  <si>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</si>
  <si>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</si>
  <si>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</si>
  <si>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</si>
  <si>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</si>
  <si>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</si>
  <si>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</si>
  <si>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</si>
  <si>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</si>
  <si>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</si>
  <si>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</si>
  <si>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</si>
  <si>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</si>
  <si>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</si>
  <si>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</si>
  <si>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</si>
  <si>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</si>
  <si>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</si>
  <si>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</si>
  <si>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</si>
  <si>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</si>
  <si>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</si>
  <si>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</si>
  <si>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</si>
  <si>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</si>
  <si>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</si>
  <si>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</si>
  <si>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</si>
  <si>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</si>
  <si>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</si>
  <si>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</si>
  <si>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</si>
  <si>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</si>
  <si>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</si>
  <si>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</si>
  <si>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</si>
  <si>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</si>
  <si>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</si>
  <si>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</si>
  <si>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</si>
  <si>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</si>
  <si>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</si>
  <si>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</si>
  <si>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</si>
  <si>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</si>
  <si>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</si>
  <si>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</si>
  <si>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</si>
  <si>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</si>
  <si>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</si>
  <si>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</si>
  <si>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</si>
  <si>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</si>
  <si>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</si>
  <si>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</si>
  <si>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</si>
  <si>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</si>
  <si>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</si>
  <si>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</si>
  <si>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</si>
  <si>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</si>
  <si>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</si>
  <si>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</si>
  <si>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</si>
  <si>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</si>
  <si>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</si>
  <si>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</si>
  <si>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</si>
  <si>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</si>
  <si>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</si>
  <si>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</si>
  <si>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</si>
  <si>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</si>
  <si>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</si>
  <si>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</si>
  <si>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</si>
  <si>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</si>
  <si>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</si>
  <si>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</si>
  <si>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</si>
  <si>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</si>
  <si>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</si>
  <si>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</si>
  <si>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</si>
  <si>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</si>
  <si>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</si>
  <si>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</si>
  <si>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</si>
  <si>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</si>
  <si>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</si>
  <si>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</si>
  <si>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</si>
  <si>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</si>
  <si>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</si>
  <si>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</si>
  <si>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</si>
  <si>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</si>
  <si>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</si>
  <si>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</si>
  <si>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</si>
  <si>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</si>
  <si>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</si>
  <si>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</si>
  <si>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</si>
  <si>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</si>
  <si>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</si>
  <si>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</si>
  <si>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</si>
  <si>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</si>
  <si>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</si>
  <si>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</si>
  <si>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</si>
  <si>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</si>
  <si>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</si>
  <si>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</si>
  <si>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</si>
  <si>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</si>
  <si>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</si>
  <si>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</si>
  <si>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</si>
  <si>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</si>
  <si>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</si>
  <si>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</si>
  <si>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</si>
  <si>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</si>
  <si>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</si>
  <si>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</si>
  <si>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</si>
  <si>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</si>
  <si>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</si>
  <si>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</si>
  <si>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</si>
  <si>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</si>
  <si>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</si>
  <si>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</si>
  <si>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</si>
  <si>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</si>
  <si>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</si>
  <si>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</si>
  <si>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</si>
  <si>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</si>
  <si>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</si>
  <si>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</si>
  <si>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</si>
  <si>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</si>
  <si>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</si>
  <si>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</si>
  <si>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</si>
  <si>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</si>
  <si>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</si>
  <si>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</si>
  <si>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</si>
  <si>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</si>
  <si>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</si>
  <si>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</si>
  <si>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</si>
  <si>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</si>
  <si>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</si>
  <si>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</si>
  <si>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</si>
  <si>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</si>
  <si>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</si>
  <si>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</si>
  <si>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</si>
  <si>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</si>
  <si>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</si>
  <si>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</si>
  <si>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</si>
  <si>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</si>
  <si>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</si>
  <si>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</si>
  <si>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</si>
  <si>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</si>
  <si>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</si>
  <si>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</si>
  <si>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</si>
  <si>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</si>
  <si>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</si>
  <si>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</si>
  <si>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</si>
  <si>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</si>
  <si>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</si>
  <si>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</si>
  <si>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</si>
  <si>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</si>
  <si>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</si>
  <si>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</si>
  <si>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</si>
  <si>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</si>
  <si>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</si>
  <si>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</si>
  <si>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</si>
  <si>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</si>
  <si>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</si>
  <si>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</si>
  <si>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</si>
  <si>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</si>
  <si>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</si>
  <si>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</si>
  <si>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</si>
  <si>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</si>
  <si>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</si>
  <si>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</si>
  <si>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</si>
  <si>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</si>
  <si>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</si>
  <si>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</si>
  <si>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</si>
  <si>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</si>
  <si>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</si>
  <si>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</si>
  <si>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</si>
  <si>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</si>
  <si>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</si>
  <si>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</si>
  <si>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</si>
  <si>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</si>
  <si>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</si>
  <si>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</si>
  <si>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</si>
  <si>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</si>
  <si>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</si>
  <si>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</si>
  <si>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</si>
  <si>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</si>
  <si>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</si>
  <si>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</si>
  <si>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</si>
  <si>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</si>
  <si>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</si>
  <si>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</si>
  <si>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</si>
  <si>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</si>
  <si>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</si>
  <si>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</si>
  <si>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</si>
  <si>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</si>
  <si>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</si>
  <si>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</si>
  <si>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</si>
  <si>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</si>
  <si>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</si>
  <si>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</si>
  <si>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</si>
  <si>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</si>
  <si>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</si>
  <si>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</si>
  <si>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</si>
  <si>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</si>
  <si>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</si>
  <si>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</si>
  <si>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</si>
  <si>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</si>
  <si>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</si>
  <si>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</si>
  <si>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</si>
  <si>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</si>
  <si>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</si>
  <si>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</si>
  <si>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</si>
  <si>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</si>
  <si>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</si>
  <si>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</si>
  <si>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</si>
  <si>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</si>
  <si>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</si>
  <si>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</si>
  <si>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</si>
  <si>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</si>
  <si>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</si>
  <si>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</si>
  <si>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</si>
  <si>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</si>
  <si>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</si>
  <si>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</si>
  <si>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</si>
  <si>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</si>
  <si>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</si>
  <si>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</si>
  <si>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</si>
  <si>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</si>
  <si>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</si>
  <si>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</si>
  <si>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</si>
  <si>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</si>
  <si>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</si>
  <si>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</si>
  <si>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</si>
  <si>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</si>
  <si>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</si>
  <si>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</si>
  <si>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</si>
  <si>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</si>
  <si>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</si>
  <si>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</si>
  <si>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</si>
  <si>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</si>
  <si>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</si>
  <si>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</si>
  <si>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</si>
  <si>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</si>
  <si>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</si>
  <si>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</si>
  <si>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</si>
  <si>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</si>
  <si>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</si>
  <si>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</si>
  <si>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</si>
  <si>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</si>
  <si>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</si>
  <si>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</si>
  <si>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</si>
  <si>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</si>
  <si>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</si>
  <si>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</si>
  <si>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</si>
  <si>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</si>
  <si>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</si>
  <si>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</si>
  <si>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</si>
  <si>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</si>
  <si>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</si>
  <si>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</si>
  <si>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</si>
  <si>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</si>
  <si>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</si>
  <si>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</si>
  <si>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</si>
  <si>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</si>
  <si>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</si>
  <si>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</si>
  <si>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</si>
  <si>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</si>
  <si>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</si>
  <si>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</si>
  <si>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</si>
  <si>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</si>
  <si>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</si>
  <si>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</si>
  <si>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</si>
  <si>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</si>
  <si>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</si>
  <si>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</si>
  <si>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</si>
  <si>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</si>
  <si>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</si>
  <si>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</si>
  <si>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</si>
  <si>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</si>
  <si>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</si>
  <si>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</si>
  <si>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</si>
  <si>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</si>
  <si>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</si>
  <si>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</si>
  <si>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</si>
  <si>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</si>
  <si>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</si>
  <si>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</si>
  <si>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</si>
  <si>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</si>
  <si>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</si>
  <si>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</si>
  <si>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</si>
  <si>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</si>
  <si>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</si>
  <si>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</si>
  <si>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</si>
  <si>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</si>
  <si>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</si>
  <si>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</si>
  <si>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</si>
  <si>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</si>
  <si>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</si>
  <si>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</si>
  <si>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</si>
  <si>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</si>
  <si>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</si>
  <si>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</si>
  <si>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</si>
  <si>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</si>
  <si>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</si>
  <si>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</si>
  <si>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</si>
  <si>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</si>
  <si>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</si>
  <si>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</si>
  <si>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</si>
  <si>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</si>
  <si>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</si>
  <si>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</si>
  <si>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</si>
  <si>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</si>
  <si>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</si>
  <si>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</si>
  <si>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</si>
  <si>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</si>
  <si>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</si>
  <si>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</si>
  <si>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</si>
  <si>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</si>
  <si>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</si>
  <si>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</si>
  <si>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</si>
  <si>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</si>
  <si>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</si>
  <si>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</si>
  <si>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</si>
  <si>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</si>
  <si>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</si>
  <si>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</si>
  <si>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</si>
  <si>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</si>
  <si>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</si>
  <si>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</si>
  <si>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</si>
  <si>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</si>
  <si>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</si>
  <si>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</si>
  <si>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</si>
  <si>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</si>
  <si>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</si>
  <si>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</si>
  <si>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</si>
  <si>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</si>
  <si>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</si>
  <si>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</si>
  <si>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</si>
  <si>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</si>
  <si>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</si>
  <si>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</si>
  <si>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</si>
  <si>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</si>
  <si>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</si>
  <si>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</si>
  <si>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</si>
  <si>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</si>
  <si>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</si>
  <si>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</si>
  <si>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</si>
  <si>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</si>
  <si>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</si>
  <si>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</si>
  <si>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</si>
  <si>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</si>
  <si>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</si>
  <si>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</si>
  <si>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</si>
  <si>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</si>
  <si>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</si>
  <si>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</si>
  <si>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</si>
  <si>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</si>
  <si>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</si>
  <si>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</si>
  <si>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</si>
  <si>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</si>
  <si>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</si>
  <si>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</si>
  <si>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</si>
  <si>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</si>
  <si>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</si>
  <si>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</si>
  <si>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</si>
  <si>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</si>
  <si>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</si>
  <si>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</si>
  <si>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</si>
  <si>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</si>
  <si>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</si>
  <si>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</si>
  <si>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</si>
  <si>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</si>
  <si>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</si>
  <si>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</si>
  <si>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</si>
  <si>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</si>
  <si>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</si>
  <si>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</si>
  <si>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</si>
  <si>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</si>
  <si>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</si>
  <si>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</si>
  <si>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</si>
  <si>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</si>
  <si>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</si>
  <si>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</si>
  <si>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</si>
  <si>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</si>
  <si>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</si>
  <si>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</si>
  <si>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</si>
  <si>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</si>
  <si>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</si>
  <si>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</si>
  <si>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</si>
  <si>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</si>
  <si>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</si>
  <si>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</si>
  <si>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</si>
  <si>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</si>
  <si>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</si>
  <si>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</si>
  <si>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</si>
  <si>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</si>
  <si>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</si>
  <si>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</si>
  <si>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</si>
  <si>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</si>
  <si>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</si>
  <si>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</si>
  <si>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</si>
  <si>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</si>
  <si>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</si>
  <si>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</si>
  <si>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</si>
  <si>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</si>
  <si>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</si>
  <si>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</si>
  <si>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</si>
  <si>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</si>
  <si>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</si>
  <si>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</si>
  <si>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</si>
  <si>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</si>
  <si>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</si>
  <si>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</si>
  <si>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</si>
  <si>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</si>
  <si>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</si>
  <si>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</si>
  <si>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</si>
  <si>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</si>
  <si>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</si>
  <si>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</si>
  <si>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</si>
  <si>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</si>
  <si>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</si>
  <si>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</si>
  <si>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</si>
  <si>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</si>
  <si>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</si>
  <si>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</si>
  <si>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</si>
  <si>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</si>
  <si>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</si>
  <si>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</si>
  <si>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</si>
  <si>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</si>
  <si>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</si>
  <si>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</si>
  <si>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</si>
  <si>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</si>
  <si>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</si>
  <si>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</si>
  <si>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</si>
  <si>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</si>
  <si>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</si>
  <si>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</si>
  <si>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</si>
  <si>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</si>
  <si>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</si>
  <si>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</si>
  <si>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</si>
  <si>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</si>
  <si>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</si>
  <si>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</si>
  <si>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</si>
  <si>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</si>
  <si>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</si>
  <si>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</si>
  <si>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</si>
  <si>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</si>
  <si>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</si>
  <si>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</si>
  <si>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</si>
  <si>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</si>
  <si>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</si>
  <si>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</si>
  <si>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</si>
  <si>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</si>
  <si>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</si>
  <si>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</si>
  <si>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</si>
  <si>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</si>
  <si>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</si>
  <si>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</si>
  <si>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</si>
  <si>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</si>
  <si>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</si>
  <si>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</si>
  <si>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</si>
  <si>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</si>
  <si>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</si>
  <si>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</si>
  <si>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</si>
  <si>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</si>
  <si>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</si>
  <si>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</si>
  <si>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</si>
  <si>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</si>
  <si>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</si>
  <si>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</si>
  <si>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</si>
  <si>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</si>
  <si>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</si>
  <si>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</si>
  <si>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</si>
  <si>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</si>
  <si>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</si>
  <si>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</si>
  <si>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</si>
  <si>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</si>
  <si>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</si>
  <si>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</si>
  <si>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</si>
  <si>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</si>
  <si>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</si>
  <si>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</si>
  <si>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</si>
  <si>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</si>
  <si>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</si>
  <si>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</si>
  <si>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</si>
  <si>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</si>
  <si>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</si>
  <si>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</si>
  <si>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</si>
  <si>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</si>
  <si>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</si>
  <si>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</si>
  <si>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</si>
  <si>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</si>
  <si>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</si>
  <si>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</si>
  <si>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</si>
  <si>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</si>
  <si>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</si>
  <si>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</si>
  <si>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</si>
  <si>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</si>
  <si>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</si>
  <si>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</si>
  <si>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</si>
  <si>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</si>
  <si>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</si>
  <si>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</si>
  <si>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</si>
  <si>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</si>
  <si>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</si>
  <si>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</si>
  <si>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</si>
  <si>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</si>
  <si>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</si>
  <si>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</si>
  <si>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</si>
  <si>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</si>
  <si>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</si>
  <si>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</si>
  <si>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</si>
  <si>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</si>
  <si>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</si>
  <si>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</si>
  <si>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</si>
  <si>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</si>
  <si>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</si>
  <si>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</si>
  <si>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</si>
  <si>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</si>
  <si>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</si>
  <si>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</si>
  <si>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</si>
  <si>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</si>
  <si>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</si>
  <si>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</si>
  <si>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</si>
  <si>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</si>
  <si>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</si>
  <si>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</si>
  <si>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</si>
  <si>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</si>
  <si>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</si>
  <si>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</si>
  <si>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</si>
  <si>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</si>
  <si>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</si>
  <si>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</si>
  <si>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</si>
  <si>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</si>
  <si>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</si>
  <si>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</si>
  <si>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</si>
  <si>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</si>
  <si>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</si>
  <si>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</si>
  <si>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</si>
  <si>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</si>
  <si>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</si>
  <si>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</si>
  <si>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</si>
  <si>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</si>
  <si>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</si>
  <si>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</si>
  <si>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</si>
  <si>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</si>
  <si>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</si>
  <si>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</si>
  <si>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</si>
  <si>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</si>
  <si>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</si>
  <si>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</si>
  <si>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</si>
  <si>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</si>
  <si>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</si>
  <si>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</si>
  <si>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</si>
  <si>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</si>
  <si>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</si>
  <si>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</si>
  <si>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</si>
  <si>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</si>
  <si>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</si>
  <si>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</si>
  <si>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</si>
  <si>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</si>
  <si>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</si>
  <si>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</si>
  <si>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</si>
  <si>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</si>
  <si>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</si>
  <si>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</si>
  <si>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</si>
  <si>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</si>
  <si>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</si>
  <si>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</si>
  <si>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</si>
  <si>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</si>
  <si>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</si>
  <si>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</si>
  <si>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</si>
  <si>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</si>
  <si>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</si>
  <si>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</si>
  <si>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</si>
  <si>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</si>
  <si>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</si>
  <si>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</si>
  <si>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</si>
  <si>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</si>
  <si>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</si>
  <si>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</si>
  <si>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</si>
  <si>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</si>
  <si>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</si>
  <si>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</si>
  <si>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</si>
  <si>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</si>
  <si>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</si>
  <si>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</si>
  <si>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</si>
  <si>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</si>
  <si>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</si>
  <si>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</si>
  <si>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</si>
  <si>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</si>
  <si>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</si>
  <si>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</si>
  <si>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</si>
  <si>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</si>
  <si>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</si>
  <si>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</si>
  <si>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</si>
  <si>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Arnold Magnetic Technologies</t>
  </si>
  <si>
    <t>Christopher Bacon</t>
  </si>
  <si>
    <t>cbacon@arnoldmagnetics.com</t>
  </si>
  <si>
    <t>585-385-9010</t>
  </si>
  <si>
    <t>Michelle Mikiewicz</t>
  </si>
  <si>
    <t>mmikiewicz@arnoldmagnetics.com</t>
  </si>
  <si>
    <t>China</t>
  </si>
  <si>
    <t>Finland</t>
  </si>
  <si>
    <t>Belgium</t>
  </si>
  <si>
    <t>Canada</t>
  </si>
  <si>
    <t>Congo, Democratic Republic Of The</t>
  </si>
  <si>
    <t>Morocco</t>
  </si>
  <si>
    <t>Australia</t>
  </si>
  <si>
    <t>Korea, Republic Of</t>
  </si>
  <si>
    <t>Taiwan, Province Of China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</si>
</sst>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 fillId="45" borderId="56" xfId="498" applyNumberFormat="1" applyFill="1" applyBorder="1" applyAlignment="1" applyProtection="1">
      <alignment horizontal="left" vertical="center" wrapText="1"/>
      <protection locked="0"/>
    </xf>
    <xf numFmtId="49" fontId="0" fillId="0" borderId="51" xfId="0" applyNumberFormat="1" applyBorder="1" applyAlignment="1" applyProtection="1">
      <alignment vertical="center"/>
      <protection locked="0"/>
    </xf>
    <xf numFmtId="0" fontId="0" fillId="0" borderId="76" xfId="0" applyBorder="1" applyAlignment="1" applyProtection="1">
      <alignment horizontal="left" vertical="center" wrapText="1"/>
      <protection locked="0" hidden="1"/>
    </xf>
    <xf numFmtId="0" fontId="0" fillId="0" borderId="51" xfId="0" applyBorder="1" applyAlignment="1" applyProtection="1">
      <alignment vertical="center" wrapText="1"/>
      <protection locked="0" hidden="1"/>
    </xf>
    <xf numFmtId="0" fontId="0" fillId="45" borderId="30" xfId="0" applyFill="1" applyBorder="1" applyAlignment="1" applyProtection="1">
      <alignment horizontal="left" vertical="center" wrapText="1"/>
      <protection locked="0" hidden="1"/>
    </xf>
    <xf numFmtId="0" fontId="0" fillId="45" borderId="19" xfId="0" applyFill="1" applyBorder="1" applyAlignment="1" applyProtection="1">
      <alignment horizontal="left" vertical="center" wrapText="1"/>
      <protection locked="0" hidden="1"/>
    </xf>
    <xf numFmtId="49" fontId="0" fillId="0" borderId="46" xfId="0" applyNumberFormat="1" applyBorder="1" applyAlignment="1" applyProtection="1">
      <alignment vertical="center"/>
      <protection locked="0"/>
    </xf>
    <xf numFmtId="0" fontId="0" fillId="0" borderId="46" xfId="0" applyBorder="1" applyAlignment="1" applyProtection="1">
      <alignment vertical="center" wrapText="1"/>
      <protection locked="0" hidden="1"/>
    </xf>
    <xf numFmtId="49" fontId="0" fillId="0" borderId="77" xfId="0" applyNumberFormat="1" applyBorder="1" applyAlignment="1" applyProtection="1">
      <alignment vertical="center"/>
      <protection locked="0"/>
    </xf>
    <xf numFmtId="0" fontId="0" fillId="0" borderId="77" xfId="0" applyBorder="1" applyAlignment="1" applyProtection="1">
      <alignment horizontal="left" vertical="center" wrapText="1"/>
      <protection locked="0" hidden="1"/>
    </xf>
    <xf numFmtId="0" fontId="0" fillId="0" borderId="77" xfId="0" applyBorder="1" applyAlignment="1" applyProtection="1">
      <alignment vertical="center" wrapText="1"/>
      <protection locked="0" hidden="1"/>
    </xf>
    <xf numFmtId="0" fontId="0" fillId="45" borderId="77" xfId="0" applyFill="1" applyBorder="1" applyAlignment="1" applyProtection="1">
      <alignment horizontal="left" vertical="center" wrapText="1"/>
      <protection locked="0" hidden="1"/>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102">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mikiewicz@arnoldmagnetics.com" TargetMode="External"/><Relationship Id="rId1" Type="http://schemas.openxmlformats.org/officeDocument/2006/relationships/hyperlink" Target="mailto:cbacon@arnoldmagnetic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12820</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7" t="s">
        <v>12821</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12822</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12823</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7" t="s">
        <v>12824</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12822</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45098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29</v>
      </c>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27</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t="s">
        <v>31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27</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23</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101" priority="24">
      <formula>IF($D$28="No",TRUE)</formula>
    </cfRule>
  </conditionalFormatting>
  <conditionalFormatting sqref="D29 D41 D47 D53 D59 D65">
    <cfRule type="expression" dxfId="100" priority="23">
      <formula>IF($D$29="No",TRUE)</formula>
    </cfRule>
  </conditionalFormatting>
  <conditionalFormatting sqref="D34">
    <cfRule type="expression" dxfId="99" priority="15">
      <formula>IF($D$28="No",TRUE)</formula>
    </cfRule>
  </conditionalFormatting>
  <conditionalFormatting sqref="D35">
    <cfRule type="expression" dxfId="98" priority="14">
      <formula>IF($D$29="No",TRUE)</formula>
    </cfRule>
  </conditionalFormatting>
  <conditionalFormatting sqref="D40 D46 D52 D58 D64">
    <cfRule type="expression" dxfId="97" priority="153" stopIfTrue="1">
      <formula>IF(AND(OR($D$28="Yes",$D$28=""),D40=""),1,0)</formula>
    </cfRule>
  </conditionalFormatting>
  <conditionalFormatting sqref="D22:E22">
    <cfRule type="expression" dxfId="96" priority="150" stopIfTrue="1">
      <formula>IF($D$22="",TRUE)</formula>
    </cfRule>
  </conditionalFormatting>
  <conditionalFormatting sqref="D26:E26">
    <cfRule type="expression" dxfId="95" priority="128" stopIfTrue="1">
      <formula>IF($D$26="",TRUE)</formula>
    </cfRule>
  </conditionalFormatting>
  <conditionalFormatting sqref="D27:E27">
    <cfRule type="expression" dxfId="94" priority="135" stopIfTrue="1">
      <formula>IF($D$27="",TRUE)</formula>
    </cfRule>
  </conditionalFormatting>
  <conditionalFormatting sqref="D32:E32">
    <cfRule type="expression" dxfId="93" priority="13" stopIfTrue="1">
      <formula>IF(AND(OR($D$26="Yes",$D$26=""),$D$32=""),1,0)</formula>
    </cfRule>
    <cfRule type="expression" dxfId="92" priority="17" stopIfTrue="1">
      <formula>IF($P$26="",TRUE)</formula>
    </cfRule>
  </conditionalFormatting>
  <conditionalFormatting sqref="D33:E33">
    <cfRule type="expression" dxfId="91" priority="16" stopIfTrue="1">
      <formula>IF(AND(OR($D$27="Yes",$D$27=""),$D$33=""),1,0)</formula>
    </cfRule>
    <cfRule type="expression" dxfId="90" priority="18" stopIfTrue="1">
      <formula>IF($P$27="",TRUE)</formula>
    </cfRule>
  </conditionalFormatting>
  <conditionalFormatting sqref="D38:E38 D44:E44 D50:E50 D56:E56 D62:E62">
    <cfRule type="expression" dxfId="89" priority="44" stopIfTrue="1">
      <formula>IF(AND(OR($D$26="No",$D$26="Unknown",$D$26="Not applicable for this declaration",$D$32="No",$D$32="Unknown"),D38=""),1,0)</formula>
    </cfRule>
    <cfRule type="expression" dxfId="88" priority="45" stopIfTrue="1">
      <formula>IF(AND(OR($D$26="Yes",$D$26=""),D38=""),1,0)</formula>
    </cfRule>
  </conditionalFormatting>
  <conditionalFormatting sqref="D39:E39 D45:E45 D51:E51 D57:E57 D63:E63">
    <cfRule type="expression" dxfId="87" priority="152" stopIfTrue="1">
      <formula>IF(AND(OR($D$27="Yes",$D$27=""),D39=""),1,0)</formula>
    </cfRule>
    <cfRule type="expression" dxfId="86" priority="151" stopIfTrue="1">
      <formula>IF(AND(OR($D$27="No",$D$27="Unknown",$D$27="Not applicable for this declaration",$D$33="No",$D$33="Unknown"),D39=""),1,0)</formula>
    </cfRule>
  </conditionalFormatting>
  <conditionalFormatting sqref="D40:E40 D46:E46 D52:E52 D58:E58 D64:E64">
    <cfRule type="expression" dxfId="85" priority="40" stopIfTrue="1">
      <formula>$P$28=""</formula>
    </cfRule>
  </conditionalFormatting>
  <conditionalFormatting sqref="D41:E41 D47:E47 D53:E53 D59:E59 D65:E65">
    <cfRule type="expression" dxfId="84" priority="155" stopIfTrue="1">
      <formula>$P$29=""</formula>
    </cfRule>
    <cfRule type="expression" dxfId="83" priority="156" stopIfTrue="1">
      <formula>IF(AND(OR($D$29="Yes",$D$29=""),D41=""),1,0)</formula>
    </cfRule>
  </conditionalFormatting>
  <conditionalFormatting sqref="D69:E69 D71:E71 D77:E77 D79:E79 D81:E81 D83:E83">
    <cfRule type="expression" dxfId="82" priority="8" stopIfTrue="1">
      <formula>IF(D69="",TRUE)</formula>
    </cfRule>
    <cfRule type="expression" dxfId="81" priority="7" stopIfTrue="1">
      <formula>AND(OR($D$26="No",$D$26="Unknown",$D$26="Not applicable for this declaration"),OR($D$27="No",$D$27="Unknown",$D$27="Not applicable for this declaration"))</formula>
    </cfRule>
  </conditionalFormatting>
  <conditionalFormatting sqref="D74:E74">
    <cfRule type="expression" dxfId="80" priority="10" stopIfTrue="1">
      <formula>IF(AND(OR($D$26="Yes",$D$26=""),D74=""),1,0)</formula>
    </cfRule>
    <cfRule type="expression" dxfId="79" priority="9" stopIfTrue="1">
      <formula>IF(AND(OR($D$26="No",$D$26="Unknown",$D$26="Not applicable for this declaration",$D$32="No",$D$32="Unknown"),D74=""),1,0)</formula>
    </cfRule>
  </conditionalFormatting>
  <conditionalFormatting sqref="D75:E75">
    <cfRule type="expression" dxfId="78" priority="12" stopIfTrue="1">
      <formula>IF(AND(OR($D$27="Yes",$D$27=""),D75=""),1,0)</formula>
    </cfRule>
    <cfRule type="expression" dxfId="77" priority="11" stopIfTrue="1">
      <formula>IF(AND(OR($D$27="No",$D$27="Unknown",$D$27="Not applicable for this declaration",$D$33="No",$D$33="Unknown"),D75=""),1,0)</formula>
    </cfRule>
  </conditionalFormatting>
  <conditionalFormatting sqref="D9:G9">
    <cfRule type="expression" dxfId="76" priority="143" stopIfTrue="1">
      <formula>IF($D$9="",TRUE)</formula>
    </cfRule>
  </conditionalFormatting>
  <conditionalFormatting sqref="D10:J10">
    <cfRule type="expression" dxfId="74" priority="47" stopIfTrue="1">
      <formula>IF($D$9=$Q$9,TRUE)</formula>
    </cfRule>
    <cfRule type="expression" dxfId="73" priority="157" stopIfTrue="1">
      <formula>IF(AND($D$10="",$D$9=$R$9),TRUE)</formula>
    </cfRule>
  </conditionalFormatting>
  <conditionalFormatting sqref="G71:J71">
    <cfRule type="expression" dxfId="67" priority="20">
      <formula>IF(AND($D$71="Yes",$G$71=""),TRUE)</formula>
    </cfRule>
  </conditionalFormatting>
  <conditionalFormatting sqref="G79:J79">
    <cfRule type="expression" dxfId="66" priority="38" stopIfTrue="1">
      <formula>IF(AND($D$79="Yes, using other format (describe)",$G$79=""),TRUE)</formula>
    </cfRule>
  </conditionalFormatting>
  <conditionalFormatting sqref="G81:J81">
    <cfRule type="expression" dxfId="65" priority="19">
      <formula>IF(AND($D$81="Yes, using other format (describe)",$G$81=""),TRUE)</formula>
    </cfRule>
  </conditionalFormatting>
  <conditionalFormatting sqref="D8:J8">
    <cfRule type="expression" dxfId="23" priority="6" stopIfTrue="1">
      <formula>IF($D$8="",TRUE)</formula>
    </cfRule>
  </conditionalFormatting>
  <conditionalFormatting sqref="D15:J15">
    <cfRule type="expression" dxfId="22" priority="2" stopIfTrue="1">
      <formula>IF($D$15="",TRUE)</formula>
    </cfRule>
  </conditionalFormatting>
  <conditionalFormatting sqref="D16:J16">
    <cfRule type="expression" dxfId="21" priority="3" stopIfTrue="1">
      <formula>IF($D$16="",TRUE)</formula>
    </cfRule>
  </conditionalFormatting>
  <conditionalFormatting sqref="D17:J17">
    <cfRule type="expression" dxfId="20" priority="4" stopIfTrue="1">
      <formula>IF($D$17="",TRUE)</formula>
    </cfRule>
  </conditionalFormatting>
  <conditionalFormatting sqref="D18:J18">
    <cfRule type="expression" dxfId="19" priority="5" stopIfTrue="1">
      <formula>IF($D$18="",TRUE)</formula>
    </cfRule>
  </conditionalFormatting>
  <conditionalFormatting sqref="D20:J20">
    <cfRule type="expression" dxfId="18" priority="1" stopIfTrue="1">
      <formula>IF($D$20="",TRUE)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C19" sqref="C19"/>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5" t="s">
        <v>43</v>
      </c>
      <c r="K2" s="386"/>
      <c r="L2" s="386"/>
      <c r="M2" s="386"/>
      <c r="N2" s="386"/>
      <c r="O2" s="386"/>
      <c r="P2" s="163"/>
      <c r="Q2" s="164"/>
      <c r="R2" s="165"/>
      <c r="S2" s="165"/>
      <c r="T2" s="165"/>
      <c r="AH2" s="131" t="s">
        <v>26</v>
      </c>
    </row>
    <row r="3" spans="1:34" s="17" customFormat="1" ht="240.6" customHeight="1">
      <c r="A3" s="204"/>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66"/>
      <c r="G3" s="388" t="str">
        <f ca="1">OFFSET(L!$C$1,MATCH("General"&amp;"Cpy",L!$A:$A,0)-1,SL,,)</f>
        <v>© 2023 Responsible Minerals Initiative. All rights reserved.</v>
      </c>
      <c r="H3" s="388"/>
      <c r="I3" s="389"/>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398" t="s">
        <v>198</v>
      </c>
      <c r="B5" s="399" t="s">
        <v>44</v>
      </c>
      <c r="C5" s="400" t="s">
        <v>197</v>
      </c>
      <c r="D5" s="399"/>
      <c r="E5" s="399" t="s">
        <v>12825</v>
      </c>
      <c r="F5" s="399" t="s">
        <v>198</v>
      </c>
      <c r="G5" s="399" t="s">
        <v>12</v>
      </c>
      <c r="H5" s="401"/>
      <c r="I5" s="402" t="s">
        <v>199</v>
      </c>
      <c r="J5" s="402" t="s">
        <v>200</v>
      </c>
      <c r="K5" s="151"/>
      <c r="L5" s="151"/>
      <c r="M5" s="151"/>
      <c r="N5" s="151"/>
      <c r="O5" s="151"/>
      <c r="P5" s="211"/>
      <c r="Q5" s="152"/>
      <c r="R5" s="150" t="str">
        <f ca="1">IF(ISERROR($V5),"",OFFSET('Smelter Look-up'!$C$4,$V5-4,0)&amp;"")</f>
        <v>Lanzhou Jinchuan Advanced Materials Technology Co., Ltd.</v>
      </c>
      <c r="S5" s="156" t="str">
        <f t="shared" ref="S5:S63" ca="1" si="0">IF(B5="","",IF(ISERROR(MATCH($E5,CL,0)),"Unknown",INDIRECT("'C'!$A$"&amp;MATCH($E5,CL,0)+1)))</f>
        <v>CN</v>
      </c>
      <c r="T5" s="156" t="str">
        <f ca="1">IF(B5="","",IF(ISERROR(MATCH($J5,SorP!$B$1:$B$5661,0)),"",INDIRECT("'SorP'!$A$"&amp;MATCH($J5,SorP!$B$1:$B$5661,0))))</f>
        <v>CN-GS</v>
      </c>
      <c r="U5" s="169"/>
      <c r="V5" s="170">
        <f>IF(C5="",NA(),MATCH($B5&amp;$C5,'Smelter Look-up'!$J:$J,0))</f>
        <v>64</v>
      </c>
      <c r="X5" s="171">
        <f t="shared" ref="X5:X62" si="1">IF(AND(C5="Smelter not listed",OR(LEN(D5)=0,LEN(E5)=0)),1,0)</f>
        <v>0</v>
      </c>
      <c r="AB5" s="171" t="str">
        <f t="shared" ref="AB5:AB62" si="2">B5&amp;C5</f>
        <v>CobaltLanzhou Jinchuan Advanced Materials Technology Co., Ltd.</v>
      </c>
    </row>
    <row r="6" spans="1:34" s="171" customFormat="1" ht="25.5">
      <c r="A6" s="200" t="s">
        <v>109</v>
      </c>
      <c r="B6" s="150" t="s">
        <v>44</v>
      </c>
      <c r="C6" s="153" t="s">
        <v>107</v>
      </c>
      <c r="D6" s="150"/>
      <c r="E6" s="150" t="s">
        <v>12826</v>
      </c>
      <c r="F6" s="150" t="s">
        <v>109</v>
      </c>
      <c r="G6" s="150" t="s">
        <v>12</v>
      </c>
      <c r="H6" s="208"/>
      <c r="I6" s="209" t="s">
        <v>110</v>
      </c>
      <c r="J6" s="209" t="s">
        <v>111</v>
      </c>
      <c r="K6" s="151"/>
      <c r="L6" s="151"/>
      <c r="M6" s="151"/>
      <c r="N6" s="151"/>
      <c r="O6" s="151"/>
      <c r="P6" s="211"/>
      <c r="Q6" s="152"/>
      <c r="R6" s="150" t="str">
        <f ca="1">IF(ISERROR($V6),"",OFFSET('Smelter Look-up'!$C$4,$V6-4,0)&amp;"")</f>
        <v>Umicore Finland Oy</v>
      </c>
      <c r="S6" s="156" t="str">
        <f t="shared" ca="1" si="0"/>
        <v>FI</v>
      </c>
      <c r="T6" s="156" t="str">
        <f ca="1">IF(B6="","",IF(ISERROR(MATCH($J6,SorP!$B$1:$B$5661,0)),"",INDIRECT("'SorP'!$A$"&amp;MATCH($J6,SorP!$B$1:$B$5661,0))))</f>
        <v>FI-07</v>
      </c>
      <c r="U6" s="169"/>
      <c r="V6" s="170">
        <f>IF(C6="",NA(),MATCH($B6&amp;$C6,'Smelter Look-up'!$J:$J,0))</f>
        <v>117</v>
      </c>
      <c r="X6" s="171">
        <f t="shared" si="1"/>
        <v>0</v>
      </c>
      <c r="AB6" s="171" t="str">
        <f t="shared" si="2"/>
        <v>CobaltUmicore Finland Oy</v>
      </c>
    </row>
    <row r="7" spans="1:34" s="171" customFormat="1" ht="20.25">
      <c r="A7" s="200" t="s">
        <v>300</v>
      </c>
      <c r="B7" s="150" t="s">
        <v>44</v>
      </c>
      <c r="C7" s="153" t="s">
        <v>298</v>
      </c>
      <c r="D7" s="150"/>
      <c r="E7" s="150" t="s">
        <v>12827</v>
      </c>
      <c r="F7" s="150" t="s">
        <v>300</v>
      </c>
      <c r="G7" s="150" t="s">
        <v>12</v>
      </c>
      <c r="H7" s="208"/>
      <c r="I7" s="209" t="s">
        <v>301</v>
      </c>
      <c r="J7" s="209" t="s">
        <v>302</v>
      </c>
      <c r="K7" s="151"/>
      <c r="L7" s="151"/>
      <c r="M7" s="151"/>
      <c r="N7" s="151"/>
      <c r="O7" s="151"/>
      <c r="P7" s="211"/>
      <c r="Q7" s="152"/>
      <c r="R7" s="150" t="str">
        <f ca="1">IF(ISERROR($V7),"",OFFSET('Smelter Look-up'!$C$4,$V7-4,0)&amp;"")</f>
        <v>Umicore Olen</v>
      </c>
      <c r="S7" s="156" t="str">
        <f t="shared" ca="1" si="0"/>
        <v>BE</v>
      </c>
      <c r="T7" s="156" t="str">
        <f ca="1">IF(B7="","",IF(ISERROR(MATCH($J7,SorP!$B$1:$B$5661,0)),"",INDIRECT("'SorP'!$A$"&amp;MATCH($J7,SorP!$B$1:$B$5661,0))))</f>
        <v>BE-VAN</v>
      </c>
      <c r="U7" s="169"/>
      <c r="V7" s="170">
        <f>IF(C7="",NA(),MATCH($B7&amp;$C7,'Smelter Look-up'!$J:$J,0))</f>
        <v>118</v>
      </c>
      <c r="X7" s="171">
        <f t="shared" si="1"/>
        <v>0</v>
      </c>
      <c r="AB7" s="171" t="str">
        <f t="shared" si="2"/>
        <v>CobaltUmicore Olen</v>
      </c>
    </row>
    <row r="8" spans="1:34" s="171" customFormat="1" ht="20.25">
      <c r="A8" s="200" t="s">
        <v>270</v>
      </c>
      <c r="B8" s="150" t="s">
        <v>44</v>
      </c>
      <c r="C8" s="153" t="s">
        <v>269</v>
      </c>
      <c r="D8" s="150"/>
      <c r="E8" s="150" t="s">
        <v>12828</v>
      </c>
      <c r="F8" s="150" t="s">
        <v>270</v>
      </c>
      <c r="G8" s="150" t="s">
        <v>12</v>
      </c>
      <c r="H8" s="208"/>
      <c r="I8" s="209" t="s">
        <v>271</v>
      </c>
      <c r="J8" s="209" t="s">
        <v>105</v>
      </c>
      <c r="K8" s="151"/>
      <c r="L8" s="151"/>
      <c r="M8" s="151"/>
      <c r="N8" s="151"/>
      <c r="O8" s="151"/>
      <c r="P8" s="211"/>
      <c r="Q8" s="152"/>
      <c r="R8" s="150" t="str">
        <f ca="1">IF(ISERROR($V8),"",OFFSET('Smelter Look-up'!$C$4,$V8-4,0)&amp;"")</f>
        <v>Port Colborne Refinery</v>
      </c>
      <c r="S8" s="156" t="str">
        <f t="shared" ca="1" si="0"/>
        <v>CA</v>
      </c>
      <c r="T8" s="156" t="str">
        <f ca="1">IF(B8="","",IF(ISERROR(MATCH($J8,SorP!$B$1:$B$5661,0)),"",INDIRECT("'SorP'!$A$"&amp;MATCH($J8,SorP!$B$1:$B$5661,0))))</f>
        <v>CA-ON</v>
      </c>
      <c r="U8" s="169"/>
      <c r="V8" s="170">
        <f>IF(C8="",NA(),MATCH($B8&amp;$C8,'Smelter Look-up'!$J:$J,0))</f>
        <v>100</v>
      </c>
      <c r="X8" s="171">
        <f t="shared" si="1"/>
        <v>0</v>
      </c>
      <c r="AB8" s="171" t="str">
        <f t="shared" si="2"/>
        <v>CobaltPort Colborne Refinery</v>
      </c>
    </row>
    <row r="9" spans="1:34" s="171" customFormat="1" ht="25.5">
      <c r="A9" s="200" t="s">
        <v>191</v>
      </c>
      <c r="B9" s="150" t="s">
        <v>44</v>
      </c>
      <c r="C9" s="153" t="s">
        <v>190</v>
      </c>
      <c r="D9" s="150"/>
      <c r="E9" s="150" t="s">
        <v>12829</v>
      </c>
      <c r="F9" s="150" t="s">
        <v>191</v>
      </c>
      <c r="G9" s="150" t="s">
        <v>12</v>
      </c>
      <c r="H9" s="208"/>
      <c r="I9" s="209" t="s">
        <v>192</v>
      </c>
      <c r="J9" s="209" t="s">
        <v>193</v>
      </c>
      <c r="K9" s="151"/>
      <c r="L9" s="151"/>
      <c r="M9" s="151"/>
      <c r="N9" s="151"/>
      <c r="O9" s="151"/>
      <c r="P9" s="211"/>
      <c r="Q9" s="152"/>
      <c r="R9" s="150" t="str">
        <f ca="1">IF(ISERROR($V9),"",OFFSET('Smelter Look-up'!$C$4,$V9-4,0)&amp;"")</f>
        <v>Kamoto Copper Company</v>
      </c>
      <c r="S9" s="156" t="str">
        <f t="shared" ca="1" si="0"/>
        <v>CD</v>
      </c>
      <c r="T9" s="156" t="str">
        <f ca="1">IF(B9="","",IF(ISERROR(MATCH($J9,SorP!$B$1:$B$5661,0)),"",INDIRECT("'SorP'!$A$"&amp;MATCH($J9,SorP!$B$1:$B$5661,0))))</f>
        <v>CD-LU</v>
      </c>
      <c r="U9" s="169"/>
      <c r="V9" s="170">
        <f>IF(C9="",NA(),MATCH($B9&amp;$C9,'Smelter Look-up'!$J:$J,0))</f>
        <v>54</v>
      </c>
      <c r="X9" s="171">
        <f t="shared" si="1"/>
        <v>0</v>
      </c>
      <c r="AB9" s="171" t="str">
        <f t="shared" si="2"/>
        <v>CobaltKamoto Copper Company</v>
      </c>
    </row>
    <row r="10" spans="1:34" s="171" customFormat="1" ht="20.25">
      <c r="A10" s="201" t="s">
        <v>79</v>
      </c>
      <c r="B10" s="150" t="s">
        <v>44</v>
      </c>
      <c r="C10" s="153" t="s">
        <v>81</v>
      </c>
      <c r="D10" s="150"/>
      <c r="E10" s="150" t="s">
        <v>12830</v>
      </c>
      <c r="F10" s="150" t="s">
        <v>79</v>
      </c>
      <c r="G10" s="150" t="s">
        <v>12</v>
      </c>
      <c r="H10" s="208"/>
      <c r="I10" s="209" t="s">
        <v>80</v>
      </c>
      <c r="J10" s="209" t="s">
        <v>7858</v>
      </c>
      <c r="K10" s="151"/>
      <c r="L10" s="151"/>
      <c r="M10" s="151"/>
      <c r="N10" s="151"/>
      <c r="O10" s="151"/>
      <c r="P10" s="211"/>
      <c r="Q10" s="152"/>
      <c r="R10" s="150" t="str">
        <f ca="1">IF(ISERROR($V10),"",OFFSET('Smelter Look-up'!$C$4,$V10-4,0)&amp;"")</f>
        <v>Compagnie de Tifnout Tiranimine</v>
      </c>
      <c r="S10" s="156" t="str">
        <f t="shared" ca="1" si="0"/>
        <v>MA</v>
      </c>
      <c r="T10" s="156" t="str">
        <f ca="1">IF(B10="","",IF(ISERROR(MATCH($J10,SorP!$B$1:$B$5661,0)),"",INDIRECT("'SorP'!$A$"&amp;MATCH($J10,SorP!$B$1:$B$5661,0))))</f>
        <v>MA-07</v>
      </c>
      <c r="U10" s="169"/>
      <c r="V10" s="170">
        <f>IF(C10="",NA(),MATCH($B10&amp;$C10,'Smelter Look-up'!$J:$J,0))</f>
        <v>11</v>
      </c>
      <c r="X10" s="171">
        <f t="shared" si="1"/>
        <v>0</v>
      </c>
      <c r="AB10" s="171" t="str">
        <f t="shared" si="2"/>
        <v>CobaltComplexe hydrométallurgique de Guemassa</v>
      </c>
    </row>
    <row r="11" spans="1:34" s="171" customFormat="1" ht="20.25">
      <c r="A11" s="200" t="s">
        <v>182</v>
      </c>
      <c r="B11" s="150" t="s">
        <v>44</v>
      </c>
      <c r="C11" s="153" t="s">
        <v>181</v>
      </c>
      <c r="D11" s="150"/>
      <c r="E11" s="150" t="s">
        <v>12825</v>
      </c>
      <c r="F11" s="150" t="s">
        <v>182</v>
      </c>
      <c r="G11" s="150" t="s">
        <v>12</v>
      </c>
      <c r="H11" s="208"/>
      <c r="I11" s="209" t="s">
        <v>183</v>
      </c>
      <c r="J11" s="209" t="s">
        <v>184</v>
      </c>
      <c r="K11" s="151"/>
      <c r="L11" s="151"/>
      <c r="M11" s="151"/>
      <c r="N11" s="151"/>
      <c r="O11" s="151"/>
      <c r="P11" s="211"/>
      <c r="Q11" s="152"/>
      <c r="R11" s="150" t="str">
        <f ca="1">IF(ISERROR($V11),"",OFFSET('Smelter Look-up'!$C$4,$V11-4,0)&amp;"")</f>
        <v>Jingmen GEM Co., Ltd.</v>
      </c>
      <c r="S11" s="156" t="str">
        <f t="shared" ca="1" si="0"/>
        <v>CN</v>
      </c>
      <c r="T11" s="156" t="str">
        <f ca="1">IF(B11="","",IF(ISERROR(MATCH($J11,SorP!$B$1:$B$5661,0)),"",INDIRECT("'SorP'!$A$"&amp;MATCH($J11,SorP!$B$1:$B$5661,0))))</f>
        <v>CN-HB</v>
      </c>
      <c r="U11" s="169"/>
      <c r="V11" s="170">
        <f>IF(C11="",NA(),MATCH($B11&amp;$C11,'Smelter Look-up'!$J:$J,0))</f>
        <v>52</v>
      </c>
      <c r="X11" s="171">
        <f t="shared" si="1"/>
        <v>0</v>
      </c>
      <c r="AB11" s="171" t="str">
        <f t="shared" si="2"/>
        <v>CobaltJingmen GEM Co., Ltd.</v>
      </c>
    </row>
    <row r="12" spans="1:34" s="171" customFormat="1" ht="20.25">
      <c r="A12" s="200" t="s">
        <v>117</v>
      </c>
      <c r="B12" s="150" t="s">
        <v>44</v>
      </c>
      <c r="C12" s="153" t="s">
        <v>116</v>
      </c>
      <c r="D12" s="150"/>
      <c r="E12" s="150" t="s">
        <v>12825</v>
      </c>
      <c r="F12" s="150" t="s">
        <v>117</v>
      </c>
      <c r="G12" s="150" t="s">
        <v>12</v>
      </c>
      <c r="H12" s="208"/>
      <c r="I12" s="209" t="s">
        <v>114</v>
      </c>
      <c r="J12" s="209" t="s">
        <v>115</v>
      </c>
      <c r="K12" s="151"/>
      <c r="L12" s="151"/>
      <c r="M12" s="151"/>
      <c r="N12" s="151"/>
      <c r="O12" s="151"/>
      <c r="P12" s="211"/>
      <c r="Q12" s="152"/>
      <c r="R12" s="150" t="str">
        <f ca="1">IF(ISERROR($V12),"",OFFSET('Smelter Look-up'!$C$4,$V12-4,0)&amp;"")</f>
        <v>Ganzhou Highpower Technology Co., Ltd.</v>
      </c>
      <c r="S12" s="156" t="str">
        <f t="shared" ca="1" si="0"/>
        <v>CN</v>
      </c>
      <c r="T12" s="156" t="str">
        <f ca="1">IF(B12="","",IF(ISERROR(MATCH($J12,SorP!$B$1:$B$5661,0)),"",INDIRECT("'SorP'!$A$"&amp;MATCH($J12,SorP!$B$1:$B$5661,0))))</f>
        <v>CN-JX</v>
      </c>
      <c r="U12" s="169"/>
      <c r="V12" s="170">
        <f>IF(C12="",NA(),MATCH($B12&amp;$C12,'Smelter Look-up'!$J:$J,0))</f>
        <v>24</v>
      </c>
      <c r="X12" s="171">
        <f t="shared" si="1"/>
        <v>0</v>
      </c>
      <c r="AB12" s="171" t="str">
        <f t="shared" si="2"/>
        <v>CobaltGanzhou Highpower Technology Co., Ltd.</v>
      </c>
    </row>
    <row r="13" spans="1:34" s="171" customFormat="1" ht="20.25">
      <c r="A13" s="201" t="s">
        <v>233</v>
      </c>
      <c r="B13" s="150" t="s">
        <v>44</v>
      </c>
      <c r="C13" s="153" t="s">
        <v>231</v>
      </c>
      <c r="D13" s="150"/>
      <c r="E13" s="150" t="s">
        <v>12831</v>
      </c>
      <c r="F13" s="150" t="s">
        <v>233</v>
      </c>
      <c r="G13" s="150" t="s">
        <v>12</v>
      </c>
      <c r="H13" s="208"/>
      <c r="I13" s="209" t="s">
        <v>234</v>
      </c>
      <c r="J13" s="209" t="s">
        <v>235</v>
      </c>
      <c r="K13" s="151"/>
      <c r="L13" s="151"/>
      <c r="M13" s="151"/>
      <c r="N13" s="151"/>
      <c r="O13" s="151"/>
      <c r="P13" s="211"/>
      <c r="Q13" s="152"/>
      <c r="R13" s="150" t="str">
        <f ca="1">IF(ISERROR($V13),"",OFFSET('Smelter Look-up'!$C$4,$V13-4,0)&amp;"")</f>
        <v>Murrin Murrin Nickel Cobalt Plant</v>
      </c>
      <c r="S13" s="156" t="str">
        <f t="shared" ca="1" si="0"/>
        <v>AU</v>
      </c>
      <c r="T13" s="156" t="str">
        <f ca="1">IF(B13="","",IF(ISERROR(MATCH($J13,SorP!$B$1:$B$5661,0)),"",INDIRECT("'SorP'!$A$"&amp;MATCH($J13,SorP!$B$1:$B$5661,0))))</f>
        <v>AU-WA</v>
      </c>
      <c r="U13" s="169"/>
      <c r="V13" s="170">
        <f>IF(C13="",NA(),MATCH($B13&amp;$C13,'Smelter Look-up'!$J:$J,0))</f>
        <v>83</v>
      </c>
      <c r="X13" s="171">
        <f t="shared" si="1"/>
        <v>0</v>
      </c>
      <c r="AB13" s="171" t="str">
        <f t="shared" si="2"/>
        <v>CobaltMurrin Murrin Nickel Cobalt Plant</v>
      </c>
    </row>
    <row r="14" spans="1:34" s="171" customFormat="1" ht="20.25">
      <c r="A14" s="201" t="s">
        <v>89</v>
      </c>
      <c r="B14" s="150" t="s">
        <v>44</v>
      </c>
      <c r="C14" s="153" t="s">
        <v>92</v>
      </c>
      <c r="D14" s="150"/>
      <c r="E14" s="150" t="s">
        <v>12832</v>
      </c>
      <c r="F14" s="150" t="s">
        <v>89</v>
      </c>
      <c r="G14" s="150" t="s">
        <v>12</v>
      </c>
      <c r="H14" s="208"/>
      <c r="I14" s="209" t="s">
        <v>90</v>
      </c>
      <c r="J14" s="209" t="s">
        <v>91</v>
      </c>
      <c r="K14" s="151"/>
      <c r="L14" s="151"/>
      <c r="M14" s="151"/>
      <c r="N14" s="151"/>
      <c r="O14" s="151"/>
      <c r="P14" s="211"/>
      <c r="Q14" s="152"/>
      <c r="R14" s="150" t="str">
        <f ca="1">IF(ISERROR($V14),"",OFFSET('Smelter Look-up'!$C$4,$V14-4,0)&amp;"")</f>
        <v>Cosmo Chemical, Ltd.</v>
      </c>
      <c r="S14" s="156" t="str">
        <f t="shared" ca="1" si="0"/>
        <v>KR</v>
      </c>
      <c r="T14" s="156" t="str">
        <f ca="1">IF(B14="","",IF(ISERROR(MATCH($J14,SorP!$B$1:$B$5661,0)),"",INDIRECT("'SorP'!$A$"&amp;MATCH($J14,SorP!$B$1:$B$5661,0))))</f>
        <v>KR-48</v>
      </c>
      <c r="U14" s="169"/>
      <c r="V14" s="170">
        <f>IF(C14="",NA(),MATCH($B14&amp;$C14,'Smelter Look-up'!$J:$J,0))</f>
        <v>14</v>
      </c>
      <c r="X14" s="171">
        <f t="shared" si="1"/>
        <v>0</v>
      </c>
      <c r="AB14" s="171" t="str">
        <f t="shared" si="2"/>
        <v>CobaltCosmo EcoChem Co., Ltd.</v>
      </c>
    </row>
    <row r="15" spans="1:34" s="171" customFormat="1" ht="25.5">
      <c r="A15" s="403" t="s">
        <v>84</v>
      </c>
      <c r="B15" s="150" t="s">
        <v>44</v>
      </c>
      <c r="C15" s="404" t="s">
        <v>82</v>
      </c>
      <c r="D15" s="150"/>
      <c r="E15" s="150" t="s">
        <v>12833</v>
      </c>
      <c r="F15" s="150" t="s">
        <v>84</v>
      </c>
      <c r="G15" s="150" t="s">
        <v>12</v>
      </c>
      <c r="H15" s="208"/>
      <c r="I15" s="209" t="s">
        <v>85</v>
      </c>
      <c r="J15" s="209" t="s">
        <v>86</v>
      </c>
      <c r="K15" s="151"/>
      <c r="L15" s="151"/>
      <c r="M15" s="151"/>
      <c r="N15" s="151"/>
      <c r="O15" s="151"/>
      <c r="P15" s="211"/>
      <c r="Q15" s="152"/>
      <c r="R15" s="150" t="str">
        <f ca="1">IF(ISERROR($V15),"",OFFSET('Smelter Look-up'!$C$4,$V15-4,0)&amp;"")</f>
        <v>CoreMax Corporation</v>
      </c>
      <c r="S15" s="156" t="str">
        <f t="shared" ca="1" si="0"/>
        <v>TW</v>
      </c>
      <c r="T15" s="156" t="str">
        <f ca="1">IF(B15="","",IF(ISERROR(MATCH($J15,SorP!$B$1:$B$5661,0)),"",INDIRECT("'SorP'!$A$"&amp;MATCH($J15,SorP!$B$1:$B$5661,0))))</f>
        <v>TW-MIA</v>
      </c>
      <c r="U15" s="169"/>
      <c r="V15" s="170">
        <f>IF(C15="",NA(),MATCH($B15&amp;$C15,'Smelter Look-up'!$J:$J,0))</f>
        <v>12</v>
      </c>
      <c r="X15" s="171">
        <f t="shared" si="1"/>
        <v>0</v>
      </c>
      <c r="AB15" s="171" t="str">
        <f t="shared" si="2"/>
        <v>CobaltCoreMax Corporation</v>
      </c>
    </row>
    <row r="16" spans="1:34" s="171" customFormat="1" ht="20.25">
      <c r="A16" s="405" t="s">
        <v>182</v>
      </c>
      <c r="B16" s="406" t="s">
        <v>44</v>
      </c>
      <c r="C16" s="407" t="s">
        <v>181</v>
      </c>
      <c r="D16" s="406"/>
      <c r="E16" s="406" t="s">
        <v>72</v>
      </c>
      <c r="F16" s="406" t="s">
        <v>182</v>
      </c>
      <c r="G16" s="406" t="s">
        <v>12</v>
      </c>
      <c r="H16" s="408">
        <v>0</v>
      </c>
      <c r="I16" s="408" t="s">
        <v>183</v>
      </c>
      <c r="J16" s="408" t="s">
        <v>184</v>
      </c>
      <c r="K16" s="151"/>
      <c r="L16" s="151"/>
      <c r="M16" s="151"/>
      <c r="N16" s="151"/>
      <c r="O16" s="151"/>
      <c r="P16" s="211"/>
      <c r="Q16" s="152"/>
      <c r="R16" s="150" t="str">
        <f ca="1">IF(ISERROR($V16),"",OFFSET('Smelter Look-up'!$C$4,$V16-4,0)&amp;"")</f>
        <v>Jingmen GEM Co., Ltd.</v>
      </c>
      <c r="S16" s="156" t="str">
        <f t="shared" ca="1" si="0"/>
        <v>CN</v>
      </c>
      <c r="T16" s="156" t="str">
        <f ca="1">IF(B16="","",IF(ISERROR(MATCH($J16,SorP!$B$1:$B$5661,0)),"",INDIRECT("'SorP'!$A$"&amp;MATCH($J16,SorP!$B$1:$B$5661,0))))</f>
        <v>CN-HB</v>
      </c>
      <c r="U16" s="169"/>
      <c r="V16" s="170">
        <f>IF(C16="",NA(),MATCH($B16&amp;$C16,'Smelter Look-up'!$J:$J,0))</f>
        <v>52</v>
      </c>
      <c r="X16" s="171">
        <f t="shared" si="1"/>
        <v>0</v>
      </c>
      <c r="AB16" s="171" t="str">
        <f t="shared" si="2"/>
        <v>CobaltJingmen GEM Co., Ltd.</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30">
      <formula>$A$5:$Q1995&lt;&gt;""</formula>
    </cfRule>
  </conditionalFormatting>
  <conditionalFormatting sqref="B17:B2500">
    <cfRule type="expression" dxfId="64" priority="16" stopIfTrue="1">
      <formula>IF(B17="",TRUE)</formula>
    </cfRule>
  </conditionalFormatting>
  <conditionalFormatting sqref="C17:C2500">
    <cfRule type="expression" dxfId="63" priority="15" stopIfTrue="1">
      <formula>IF(AND(B17&lt;&gt;"",C17=""),TRUE)</formula>
    </cfRule>
  </conditionalFormatting>
  <conditionalFormatting sqref="D17:D2500">
    <cfRule type="expression" dxfId="62" priority="14" stopIfTrue="1">
      <formula>IF(AND(LEN($C17) &gt;0, ($C17 &lt;&gt; "Smelter Not Listed")),1,0)</formula>
    </cfRule>
    <cfRule type="expression" dxfId="61" priority="17" stopIfTrue="1">
      <formula>IF(AND(D17="",$C17=$X$4),TRUE)</formula>
    </cfRule>
    <cfRule type="expression" dxfId="60" priority="18" stopIfTrue="1">
      <formula>IF(FIND("!",D17),TRUE)</formula>
    </cfRule>
  </conditionalFormatting>
  <conditionalFormatting sqref="E17:E2500">
    <cfRule type="expression" dxfId="59" priority="10" stopIfTrue="1">
      <formula>IF(FIND("!",E17),TRUE)</formula>
    </cfRule>
    <cfRule type="expression" dxfId="58" priority="11" stopIfTrue="1">
      <formula>IF(AND(E17="",$C17=$X$4),TRUE)</formula>
    </cfRule>
  </conditionalFormatting>
  <conditionalFormatting sqref="F17:F2500">
    <cfRule type="expression" dxfId="57" priority="12" stopIfTrue="1">
      <formula>IF(AND(LEN($A17)&gt;0,$A17&lt;&gt;$F17),TRUE,FALSE)</formula>
    </cfRule>
  </conditionalFormatting>
  <conditionalFormatting sqref="G17:G2500">
    <cfRule type="expression" dxfId="56" priority="13" stopIfTrue="1">
      <formula>IF(FIND("Enter smelter details",G17),TRUE)</formula>
    </cfRule>
  </conditionalFormatting>
  <conditionalFormatting sqref="B5:B16">
    <cfRule type="expression" dxfId="8" priority="4" stopIfTrue="1">
      <formula>IF(B5="",TRUE)</formula>
    </cfRule>
  </conditionalFormatting>
  <conditionalFormatting sqref="D5:D16">
    <cfRule type="expression" dxfId="7" priority="2" stopIfTrue="1">
      <formula>IF(AND(LEN($C5) &gt;0, ($C5 &lt;&gt; "Smelter Not Listed")),1,0)</formula>
    </cfRule>
    <cfRule type="expression" dxfId="6" priority="7" stopIfTrue="1">
      <formula>IF(AND(D5="",$C5=$X$4),TRUE)</formula>
    </cfRule>
    <cfRule type="expression" dxfId="5" priority="8" stopIfTrue="1">
      <formula>IF(FIND("!",D5),TRUE)</formula>
    </cfRule>
  </conditionalFormatting>
  <conditionalFormatting sqref="G5:G16">
    <cfRule type="expression" dxfId="4" priority="9" stopIfTrue="1">
      <formula>IF(FIND("Enter smelter details",G5),TRUE)</formula>
    </cfRule>
  </conditionalFormatting>
  <conditionalFormatting sqref="E5:E16">
    <cfRule type="expression" dxfId="3" priority="5" stopIfTrue="1">
      <formula>IF(AND(E5="",$C5=$X$4),TRUE)</formula>
    </cfRule>
    <cfRule type="expression" dxfId="2" priority="6" stopIfTrue="1">
      <formula>IF(FIND("!",E5),TRUE)</formula>
    </cfRule>
  </conditionalFormatting>
  <conditionalFormatting sqref="F5:F16">
    <cfRule type="expression" dxfId="1" priority="3" stopIfTrue="1">
      <formula>IF(AND(LEN($A5)&gt;0,$A5&lt;&gt;$F5),TRUE,FALSE)</formula>
    </cfRule>
  </conditionalFormatting>
  <conditionalFormatting sqref="C5:C16">
    <cfRule type="expression" dxfId="0" priority="1" stopIfTrue="1">
      <formula>IF(AND(#REF!&lt;&gt;"",C5=""),TRUE)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Arnold Magnetic Technologies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Christopher Bacon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cbacon@arnoldmagnetics.com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585-385-9010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Michelle Mikiewicz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mmikiewicz@arnoldmagnetics.com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585-385-9010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45098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DRC only</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75%</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Unknown</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55" priority="417" stopIfTrue="1">
      <formula>$F4=0</formula>
    </cfRule>
    <cfRule type="expression" dxfId="54" priority="418" stopIfTrue="1">
      <formula>$H4=0</formula>
    </cfRule>
    <cfRule type="expression" dxfId="53" priority="419" stopIfTrue="1">
      <formula>$H4=1</formula>
    </cfRule>
  </conditionalFormatting>
  <conditionalFormatting sqref="A5:A13">
    <cfRule type="expression" dxfId="52" priority="119" stopIfTrue="1">
      <formula>$F5=0</formula>
    </cfRule>
    <cfRule type="expression" dxfId="51" priority="120" stopIfTrue="1">
      <formula>AND($F5=1,$G5=0)</formula>
    </cfRule>
    <cfRule type="expression" dxfId="50" priority="121" stopIfTrue="1">
      <formula>AND($F5&lt;&gt;0,$G5&lt;&gt;0)</formula>
    </cfRule>
  </conditionalFormatting>
  <conditionalFormatting sqref="A20:A21">
    <cfRule type="expression" dxfId="49" priority="10" stopIfTrue="1">
      <formula>$F20=0</formula>
    </cfRule>
    <cfRule type="expression" dxfId="48" priority="11" stopIfTrue="1">
      <formula>$H20=0</formula>
    </cfRule>
    <cfRule type="expression" dxfId="47" priority="12" stopIfTrue="1">
      <formula>$H20=1</formula>
    </cfRule>
  </conditionalFormatting>
  <conditionalFormatting sqref="A48:A50 C50">
    <cfRule type="expression" dxfId="46" priority="15" stopIfTrue="1">
      <formula>$F48=0</formula>
    </cfRule>
    <cfRule type="expression" dxfId="45" priority="16" stopIfTrue="1">
      <formula>$H48=0</formula>
    </cfRule>
    <cfRule type="expression" dxfId="44" priority="17" stopIfTrue="1">
      <formula>$H48=1</formula>
    </cfRule>
  </conditionalFormatting>
  <conditionalFormatting sqref="A60:A61">
    <cfRule type="expression" dxfId="43" priority="3" stopIfTrue="1">
      <formula>OR(C60="Complete",C60="填写",C60="記入済",C60="완료",C60="Complétez",C60="Concluído",C60="Vollständig",C60="Completare",C60="Doldurun")</formula>
    </cfRule>
  </conditionalFormatting>
  <conditionalFormatting sqref="A64 C64">
    <cfRule type="expression" dxfId="42" priority="1" stopIfTrue="1">
      <formula>IF(AND($F$64=1,$G$64=0),TRUE,FALSE)</formula>
    </cfRule>
    <cfRule type="expression" dxfId="41" priority="81" stopIfTrue="1">
      <formula>IF(AND($F$64=1,$G$64=1),TRUE,FALSE)</formula>
    </cfRule>
  </conditionalFormatting>
  <conditionalFormatting sqref="B59">
    <cfRule type="expression" dxfId="40" priority="117" stopIfTrue="1">
      <formula>$F59=0</formula>
    </cfRule>
  </conditionalFormatting>
  <conditionalFormatting sqref="B60:B64">
    <cfRule type="expression" dxfId="39" priority="101" stopIfTrue="1">
      <formula>IF(F60=0,TRUE)</formula>
    </cfRule>
  </conditionalFormatting>
  <conditionalFormatting sqref="C20">
    <cfRule type="expression" dxfId="38" priority="14" stopIfTrue="1">
      <formula>OR($B15="No",$B15="Unknown",B$15="Not applicable for this declaration")</formula>
    </cfRule>
  </conditionalFormatting>
  <conditionalFormatting sqref="C20:C21">
    <cfRule type="expression" dxfId="37" priority="21" stopIfTrue="1">
      <formula>OR(C20="Complete",C20="填写", C20="記入済",C20="완료",C20="Complétez",C20="Concluído",C20="Vollständig",C20="Completare",C20="Doldurun")</formula>
    </cfRule>
  </conditionalFormatting>
  <conditionalFormatting sqref="C21">
    <cfRule type="expression" dxfId="36" priority="13" stopIfTrue="1">
      <formula>OR($B16="No",$B16="Unknown",B$16="Not applicable for this declaration")</formula>
    </cfRule>
  </conditionalFormatting>
  <conditionalFormatting sqref="C23 C28 C33 C38 C43 C48:C49 C52:C55 C57:C58 A60:A61 C60:C61">
    <cfRule type="expression" dxfId="35" priority="2" stopIfTrue="1">
      <formula>OR($B$15="No",$B$15="Unknown",$B$15="Not applicable for this declaration",$B$20="No",$B$20="Unknown",$B$20="Not applicable for this declaration")</formula>
    </cfRule>
  </conditionalFormatting>
  <conditionalFormatting sqref="C23:C24">
    <cfRule type="expression" dxfId="34" priority="65" stopIfTrue="1">
      <formula>OR(C23="Complete",C23="填写", C23="記入済",C23="완료",C23="Complétez",C23="Concluído",C23="Vollständig",C23="Completare",C23="Doldurun")</formula>
    </cfRule>
  </conditionalFormatting>
  <conditionalFormatting sqref="C24 C34 C39 C44">
    <cfRule type="expression" dxfId="33" priority="9" stopIfTrue="1">
      <formula>OR($B$16="No",$B$16="Unknown",$B$16="Not applicable for reporting",$B$21="No",$B$21="Unknown",$B$21="Not applicable for reporting")</formula>
    </cfRule>
  </conditionalFormatting>
  <conditionalFormatting sqref="C28:C55">
    <cfRule type="expression" dxfId="32" priority="45" stopIfTrue="1">
      <formula>OR(C28="Complete",C28="填写", C28="記入済",C28="완료",C28="Complétez",C28="Concluído",C28="Vollständig",C28="Completare",C28="Doldurun")</formula>
    </cfRule>
  </conditionalFormatting>
  <conditionalFormatting sqref="C33">
    <cfRule type="expression" dxfId="31" priority="6" stopIfTrue="1">
      <formula>OR(C33="Complete",C33="填写", C33="記入済",C33="완료",C33="Complétez",C33="Concluído",C33="Vollständig",C33="Completare",C33="Doldurun")</formula>
    </cfRule>
  </conditionalFormatting>
  <conditionalFormatting sqref="C38">
    <cfRule type="expression" dxfId="30" priority="5" stopIfTrue="1">
      <formula>OR(C38="Complete",C38="填写", C38="記入済",C38="완료",C38="Complétez",C38="Concluído",C38="Vollständig",C38="Completare",C38="Doldurun")</formula>
    </cfRule>
  </conditionalFormatting>
  <conditionalFormatting sqref="C43">
    <cfRule type="expression" dxfId="29" priority="4" stopIfTrue="1">
      <formula>OR(C43="Complete",C43="填写", C43="記入済",C43="완료",C43="Complétez",C43="Concluído",C43="Vollständig",C43="Completare",C43="Doldurun")</formula>
    </cfRule>
  </conditionalFormatting>
  <conditionalFormatting sqref="C48">
    <cfRule type="expression" dxfId="28" priority="40" stopIfTrue="1">
      <formula>OR(C48="Complete",C48="填写", C48="記入済",C48="완료",C48="Complétez",C48="Concluído",C48="Vollständig",C48="Completare",C48="Doldurun")</formula>
    </cfRule>
  </conditionalFormatting>
  <conditionalFormatting sqref="C54">
    <cfRule type="expression" dxfId="27" priority="36" stopIfTrue="1">
      <formula>OR(C54="Complete",C54="填写", C54="記入済",C54="완료",C54="Complétez",C54="Concluído",C54="Vollständig",C54="Completare",C54="Doldurun")</formula>
    </cfRule>
  </conditionalFormatting>
  <conditionalFormatting sqref="C57">
    <cfRule type="expression" dxfId="26" priority="42" stopIfTrue="1">
      <formula>OR(C57="Complete",C57="填写", C57="記入済",C57="완료",C57="Complétez",C57="Concluído",C57="Vollständig",C57="Completare",C57="Doldurun")</formula>
    </cfRule>
  </conditionalFormatting>
  <conditionalFormatting sqref="C58">
    <cfRule type="expression" dxfId="25" priority="33" stopIfTrue="1">
      <formula>OR(C58="Complete",C58="填写", C58="記入済",C58="완료",C58="Complétez",C58="Concluído",C58="Vollständig",C58="Completare",C58="Doldurun")</formula>
    </cfRule>
  </conditionalFormatting>
  <conditionalFormatting sqref="C60:C61">
    <cfRule type="expression" dxfId="24"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2" t="str">
        <f ca="1">OFFSET(L!$C$1,MATCH("Product List"&amp;ADDRESS(ROW(),COLUMN(),4),L!$A:$A,0)-1,SL,,)</f>
        <v>Completion required only if reporting level "Product (or List of Products)" selected on the 'Declaration' worksheet.</v>
      </c>
      <c r="B1" s="393"/>
      <c r="C1" s="393"/>
      <c r="D1" s="393"/>
      <c r="E1" s="108"/>
    </row>
    <row r="2" spans="1:35">
      <c r="A2" s="20"/>
      <c r="B2" s="110"/>
      <c r="C2" s="110"/>
      <c r="D2"/>
      <c r="E2" s="21"/>
    </row>
    <row r="3" spans="1:35">
      <c r="A3" s="20"/>
      <c r="B3" s="110"/>
      <c r="C3" s="110"/>
      <c r="D3" s="110"/>
      <c r="E3" s="21"/>
    </row>
    <row r="4" spans="1:35" ht="15.75" customHeight="1">
      <c r="A4" s="20"/>
      <c r="B4" s="391" t="s">
        <v>51</v>
      </c>
      <c r="C4" s="391"/>
      <c r="D4" s="39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4" t="str">
        <f ca="1">OFFSET(L!$C$1,MATCH("General"&amp;"Cpy",L!$A:$A,0)-1,SL,,)</f>
        <v>© 2023 Responsible Minerals Initiative. All rights reserved.</v>
      </c>
      <c r="C1001" s="394"/>
      <c r="D1001" s="394"/>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purl.org/dc/dcmitype/"/>
    <ds:schemaRef ds:uri="http://schemas.microsoft.com/office/2006/metadata/properties"/>
    <ds:schemaRef ds:uri="http://purl.org/dc/terms/"/>
    <ds:schemaRef ds:uri="http://purl.org/dc/elements/1.1/"/>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a54701f6-876b-4337-a24e-543e1bd311e6"/>
    <ds:schemaRef ds:uri="1b346dad-8a15-4ce7-a19a-07d981b0c5e2"/>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Chris Bacon</cp:lastModifiedBy>
  <cp:revision/>
  <dcterms:created xsi:type="dcterms:W3CDTF">2010-06-21T21:00:23Z</dcterms:created>
  <dcterms:modified xsi:type="dcterms:W3CDTF">2023-06-21T14:55:22Z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